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Temp\EALB\"/>
    </mc:Choice>
  </mc:AlternateContent>
  <xr:revisionPtr revIDLastSave="0" documentId="13_ncr:1_{8CB8C663-FA82-4FA6-9F27-2ED9F4C2132F}" xr6:coauthVersionLast="47" xr6:coauthVersionMax="47" xr10:uidLastSave="{00000000-0000-0000-0000-000000000000}"/>
  <bookViews>
    <workbookView xWindow="1170" yWindow="1170" windowWidth="19680" windowHeight="13335" xr2:uid="{45EDEB37-8C85-4360-A3EE-3C355C3F33C9}"/>
  </bookViews>
  <sheets>
    <sheet name="Calendrier" sheetId="6" r:id="rId1"/>
    <sheet name="Jours fériés globaux" sheetId="4" r:id="rId2"/>
    <sheet name="RefData" sheetId="5" r:id="rId3"/>
  </sheets>
  <definedNames>
    <definedName name="AfficherAujourdHui">Calendrier!$AE$1</definedName>
    <definedName name="AfficherNoSemaine" localSheetId="0">Calendrier!$AK$1</definedName>
    <definedName name="AfficherNoSemaine">#REF!</definedName>
    <definedName name="Annee" localSheetId="0">Calendrier!$V$3</definedName>
    <definedName name="Annee">Calendrier!$V$3</definedName>
    <definedName name="FetesSecondaires">Calendrier!$Y$1</definedName>
    <definedName name="JFeriesRegionAnnee">_xlfn.ANCHORARRAY('Jours fériés globaux'!#REF!)</definedName>
    <definedName name="Jour1Cal">Calendrier!$B$6</definedName>
    <definedName name="LAnnee" localSheetId="0">TAnnee[Année]</definedName>
    <definedName name="LAnnee">TAnnee[Année]</definedName>
    <definedName name="Lieu" localSheetId="0">Calendrier!$H$1</definedName>
    <definedName name="Lieu">#REF!</definedName>
    <definedName name="LMois">TMois[Mois]</definedName>
    <definedName name="LPays">'Jours fériés globaux'!$G$1:$BI$1</definedName>
    <definedName name="Region">Calendrier!$H$1</definedName>
    <definedName name="_xlnm.Print_Area" localSheetId="0">Calendrier!$B$3:$AK$36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4" l="1"/>
  <c r="A7" i="4"/>
  <c r="A22" i="4"/>
  <c r="A23" i="4"/>
  <c r="A24" i="4"/>
  <c r="A25" i="4"/>
  <c r="A26" i="4"/>
  <c r="A28" i="4"/>
  <c r="A29" i="4"/>
  <c r="A30" i="4"/>
  <c r="A31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8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D62" i="4"/>
  <c r="C62" i="4"/>
  <c r="B6" i="6" l="1"/>
  <c r="D2" i="4"/>
  <c r="D3" i="4"/>
  <c r="D5" i="4"/>
  <c r="D37" i="4" s="1"/>
  <c r="D7" i="4"/>
  <c r="D8" i="4"/>
  <c r="D10" i="4" s="1"/>
  <c r="D13" i="4"/>
  <c r="D14" i="4"/>
  <c r="D15" i="4"/>
  <c r="D41" i="4" s="1"/>
  <c r="D16" i="4"/>
  <c r="D17" i="4"/>
  <c r="D18" i="4"/>
  <c r="D19" i="4"/>
  <c r="D20" i="4"/>
  <c r="D21" i="4" s="1"/>
  <c r="D22" i="4"/>
  <c r="D23" i="4"/>
  <c r="D24" i="4"/>
  <c r="D25" i="4"/>
  <c r="D26" i="4"/>
  <c r="D27" i="4"/>
  <c r="D28" i="4"/>
  <c r="D29" i="4"/>
  <c r="D30" i="4"/>
  <c r="D31" i="4"/>
  <c r="D33" i="4"/>
  <c r="D34" i="4"/>
  <c r="D38" i="4"/>
  <c r="D39" i="4"/>
  <c r="D40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3" i="4"/>
  <c r="C2" i="4"/>
  <c r="C52" i="4"/>
  <c r="C51" i="4"/>
  <c r="C22" i="4"/>
  <c r="C23" i="4"/>
  <c r="C24" i="4"/>
  <c r="C25" i="4"/>
  <c r="C26" i="4"/>
  <c r="C28" i="4"/>
  <c r="C29" i="4"/>
  <c r="C30" i="4"/>
  <c r="C31" i="4"/>
  <c r="C33" i="4"/>
  <c r="A33" i="4" s="1"/>
  <c r="C34" i="4"/>
  <c r="C38" i="4"/>
  <c r="C39" i="4"/>
  <c r="C40" i="4"/>
  <c r="C42" i="4"/>
  <c r="C43" i="4"/>
  <c r="C44" i="4"/>
  <c r="C45" i="4"/>
  <c r="C46" i="4"/>
  <c r="C47" i="4"/>
  <c r="A47" i="4" s="1"/>
  <c r="C48" i="4"/>
  <c r="C49" i="4"/>
  <c r="A49" i="4" s="1"/>
  <c r="C50" i="4"/>
  <c r="A50" i="4" s="1"/>
  <c r="C53" i="4"/>
  <c r="C54" i="4"/>
  <c r="C55" i="4"/>
  <c r="C56" i="4"/>
  <c r="C57" i="4"/>
  <c r="C58" i="4"/>
  <c r="C59" i="4"/>
  <c r="C60" i="4"/>
  <c r="C61" i="4"/>
  <c r="C63" i="4"/>
  <c r="C20" i="4"/>
  <c r="C19" i="4"/>
  <c r="C18" i="4"/>
  <c r="C17" i="4"/>
  <c r="C16" i="4"/>
  <c r="C15" i="4"/>
  <c r="C14" i="4"/>
  <c r="C13" i="4"/>
  <c r="C8" i="4"/>
  <c r="C7" i="4"/>
  <c r="C5" i="4"/>
  <c r="C3" i="4"/>
  <c r="A16" i="4" l="1"/>
  <c r="A17" i="4"/>
  <c r="A3" i="4"/>
  <c r="A5" i="4"/>
  <c r="A14" i="4"/>
  <c r="A18" i="4"/>
  <c r="A19" i="4"/>
  <c r="A2" i="4"/>
  <c r="A13" i="4"/>
  <c r="C10" i="4"/>
  <c r="A10" i="4" s="1"/>
  <c r="A8" i="4"/>
  <c r="C21" i="4"/>
  <c r="A21" i="4" s="1"/>
  <c r="A20" i="4"/>
  <c r="C41" i="4"/>
  <c r="A15" i="4"/>
  <c r="B7" i="6"/>
  <c r="B8" i="6" s="1"/>
  <c r="B9" i="6" s="1"/>
  <c r="B5" i="6"/>
  <c r="D32" i="4"/>
  <c r="D9" i="4"/>
  <c r="D36" i="4"/>
  <c r="D35" i="4" s="1"/>
  <c r="D6" i="4"/>
  <c r="D4" i="4"/>
  <c r="D11" i="4"/>
  <c r="C6" i="6"/>
  <c r="E6" i="6"/>
  <c r="E5" i="6" s="1"/>
  <c r="C4" i="4"/>
  <c r="C6" i="4"/>
  <c r="C37" i="4"/>
  <c r="C11" i="4"/>
  <c r="A11" i="4" s="1"/>
  <c r="C32" i="4"/>
  <c r="A32" i="4" s="1"/>
  <c r="C36" i="4"/>
  <c r="C35" i="4" s="1"/>
  <c r="C9" i="4"/>
  <c r="A9" i="4" s="1"/>
  <c r="A4" i="4" l="1"/>
  <c r="C7" i="6"/>
  <c r="C12" i="4"/>
  <c r="C27" i="4"/>
  <c r="A27" i="4" s="1"/>
  <c r="D12" i="4"/>
  <c r="C8" i="6"/>
  <c r="F6" i="6"/>
  <c r="E7" i="6"/>
  <c r="H6" i="6"/>
  <c r="H5" i="6" s="1"/>
  <c r="B10" i="6"/>
  <c r="C9" i="6"/>
  <c r="A12" i="4" l="1"/>
  <c r="I6" i="6"/>
  <c r="K6" i="6"/>
  <c r="K5" i="6" s="1"/>
  <c r="H7" i="6"/>
  <c r="F7" i="6"/>
  <c r="E8" i="6"/>
  <c r="B11" i="6"/>
  <c r="C10" i="6"/>
  <c r="D7" i="6" l="1"/>
  <c r="G8" i="6"/>
  <c r="D8" i="6"/>
  <c r="G6" i="6"/>
  <c r="G7" i="6"/>
  <c r="D6" i="6"/>
  <c r="J7" i="6"/>
  <c r="D10" i="6"/>
  <c r="J6" i="6"/>
  <c r="D11" i="6"/>
  <c r="M6" i="6"/>
  <c r="D9" i="6"/>
  <c r="F8" i="6"/>
  <c r="E9" i="6"/>
  <c r="G9" i="6" s="1"/>
  <c r="N6" i="6"/>
  <c r="N5" i="6" s="1"/>
  <c r="K7" i="6"/>
  <c r="M7" i="6" s="1"/>
  <c r="L6" i="6"/>
  <c r="B12" i="6"/>
  <c r="D12" i="6" s="1"/>
  <c r="C11" i="6"/>
  <c r="I7" i="6"/>
  <c r="H8" i="6"/>
  <c r="J8" i="6" s="1"/>
  <c r="BJ2" i="4" a="1"/>
  <c r="BJ2" i="4" s="1"/>
  <c r="P6" i="6" l="1"/>
  <c r="N7" i="6"/>
  <c r="P7" i="6" s="1"/>
  <c r="Q6" i="6"/>
  <c r="Q5" i="6" s="1"/>
  <c r="O6" i="6"/>
  <c r="L7" i="6"/>
  <c r="K8" i="6"/>
  <c r="M8" i="6" s="1"/>
  <c r="F9" i="6"/>
  <c r="E10" i="6"/>
  <c r="G10" i="6" s="1"/>
  <c r="B13" i="6"/>
  <c r="D13" i="6" s="1"/>
  <c r="C12" i="6"/>
  <c r="H9" i="6"/>
  <c r="J9" i="6" s="1"/>
  <c r="I8" i="6"/>
  <c r="S6" i="6" l="1"/>
  <c r="H10" i="6"/>
  <c r="J10" i="6" s="1"/>
  <c r="I9" i="6"/>
  <c r="B14" i="6"/>
  <c r="D14" i="6" s="1"/>
  <c r="C13" i="6"/>
  <c r="L8" i="6"/>
  <c r="K9" i="6"/>
  <c r="M9" i="6" s="1"/>
  <c r="R6" i="6"/>
  <c r="Q7" i="6"/>
  <c r="S7" i="6" s="1"/>
  <c r="T6" i="6"/>
  <c r="T5" i="6" s="1"/>
  <c r="F10" i="6"/>
  <c r="E11" i="6"/>
  <c r="G11" i="6" s="1"/>
  <c r="N8" i="6"/>
  <c r="P8" i="6" s="1"/>
  <c r="O7" i="6"/>
  <c r="V6" i="6" l="1"/>
  <c r="F11" i="6"/>
  <c r="E12" i="6"/>
  <c r="G12" i="6" s="1"/>
  <c r="R7" i="6"/>
  <c r="Q8" i="6"/>
  <c r="S8" i="6" s="1"/>
  <c r="H11" i="6"/>
  <c r="J11" i="6" s="1"/>
  <c r="I10" i="6"/>
  <c r="N9" i="6"/>
  <c r="P9" i="6" s="1"/>
  <c r="O8" i="6"/>
  <c r="U6" i="6"/>
  <c r="T7" i="6"/>
  <c r="V7" i="6" s="1"/>
  <c r="W6" i="6"/>
  <c r="W5" i="6" s="1"/>
  <c r="L9" i="6"/>
  <c r="K10" i="6"/>
  <c r="M10" i="6" s="1"/>
  <c r="C14" i="6"/>
  <c r="B15" i="6"/>
  <c r="D15" i="6" s="1"/>
  <c r="Y6" i="6" l="1"/>
  <c r="H12" i="6"/>
  <c r="J12" i="6" s="1"/>
  <c r="I11" i="6"/>
  <c r="L10" i="6"/>
  <c r="K11" i="6"/>
  <c r="M11" i="6" s="1"/>
  <c r="U7" i="6"/>
  <c r="T8" i="6"/>
  <c r="V8" i="6" s="1"/>
  <c r="Z6" i="6"/>
  <c r="Z5" i="6" s="1"/>
  <c r="W7" i="6"/>
  <c r="Y7" i="6" s="1"/>
  <c r="X6" i="6"/>
  <c r="C15" i="6"/>
  <c r="B16" i="6"/>
  <c r="D16" i="6" s="1"/>
  <c r="N10" i="6"/>
  <c r="P10" i="6" s="1"/>
  <c r="O9" i="6"/>
  <c r="F12" i="6"/>
  <c r="E13" i="6"/>
  <c r="G13" i="6" s="1"/>
  <c r="R8" i="6"/>
  <c r="Q9" i="6"/>
  <c r="S9" i="6" s="1"/>
  <c r="AB6" i="6" l="1"/>
  <c r="W8" i="6"/>
  <c r="Y8" i="6" s="1"/>
  <c r="X7" i="6"/>
  <c r="Z7" i="6"/>
  <c r="AB7" i="6" s="1"/>
  <c r="AC6" i="6"/>
  <c r="AC5" i="6" s="1"/>
  <c r="AA6" i="6"/>
  <c r="L11" i="6"/>
  <c r="K12" i="6"/>
  <c r="M12" i="6" s="1"/>
  <c r="H13" i="6"/>
  <c r="J13" i="6" s="1"/>
  <c r="I12" i="6"/>
  <c r="R9" i="6"/>
  <c r="Q10" i="6"/>
  <c r="S10" i="6" s="1"/>
  <c r="C16" i="6"/>
  <c r="B17" i="6"/>
  <c r="D17" i="6" s="1"/>
  <c r="F13" i="6"/>
  <c r="E14" i="6"/>
  <c r="G14" i="6" s="1"/>
  <c r="N11" i="6"/>
  <c r="P11" i="6" s="1"/>
  <c r="O10" i="6"/>
  <c r="T9" i="6"/>
  <c r="V9" i="6" s="1"/>
  <c r="U8" i="6"/>
  <c r="AE6" i="6" l="1"/>
  <c r="Z8" i="6"/>
  <c r="AB8" i="6" s="1"/>
  <c r="AA7" i="6"/>
  <c r="U9" i="6"/>
  <c r="T10" i="6"/>
  <c r="V10" i="6" s="1"/>
  <c r="N12" i="6"/>
  <c r="P12" i="6" s="1"/>
  <c r="O11" i="6"/>
  <c r="R10" i="6"/>
  <c r="Q11" i="6"/>
  <c r="S11" i="6" s="1"/>
  <c r="H14" i="6"/>
  <c r="J14" i="6" s="1"/>
  <c r="I13" i="6"/>
  <c r="C17" i="6"/>
  <c r="B18" i="6"/>
  <c r="D18" i="6" s="1"/>
  <c r="L12" i="6"/>
  <c r="K13" i="6"/>
  <c r="M13" i="6" s="1"/>
  <c r="X8" i="6"/>
  <c r="W9" i="6"/>
  <c r="Y9" i="6" s="1"/>
  <c r="E15" i="6"/>
  <c r="G15" i="6" s="1"/>
  <c r="F14" i="6"/>
  <c r="AD6" i="6"/>
  <c r="AC7" i="6"/>
  <c r="AE7" i="6" s="1"/>
  <c r="AF6" i="6"/>
  <c r="AF5" i="6" s="1"/>
  <c r="AH6" i="6" l="1"/>
  <c r="X9" i="6"/>
  <c r="W10" i="6"/>
  <c r="Y10" i="6" s="1"/>
  <c r="R11" i="6"/>
  <c r="Q12" i="6"/>
  <c r="S12" i="6" s="1"/>
  <c r="N13" i="6"/>
  <c r="P13" i="6" s="1"/>
  <c r="O12" i="6"/>
  <c r="AG6" i="6"/>
  <c r="AI6" i="6"/>
  <c r="AF7" i="6"/>
  <c r="AH7" i="6" s="1"/>
  <c r="E16" i="6"/>
  <c r="G16" i="6" s="1"/>
  <c r="F15" i="6"/>
  <c r="I14" i="6"/>
  <c r="H15" i="6"/>
  <c r="J15" i="6" s="1"/>
  <c r="T11" i="6"/>
  <c r="V11" i="6" s="1"/>
  <c r="U10" i="6"/>
  <c r="AD7" i="6"/>
  <c r="AC8" i="6"/>
  <c r="AE8" i="6" s="1"/>
  <c r="K14" i="6"/>
  <c r="M14" i="6" s="1"/>
  <c r="L13" i="6"/>
  <c r="C18" i="6"/>
  <c r="B19" i="6"/>
  <c r="D19" i="6" s="1"/>
  <c r="Z9" i="6"/>
  <c r="AB9" i="6" s="1"/>
  <c r="AA8" i="6"/>
  <c r="AI5" i="6" l="1"/>
  <c r="Y3" i="6"/>
  <c r="X3" i="6" s="1"/>
  <c r="AK6" i="6"/>
  <c r="F16" i="6"/>
  <c r="E17" i="6"/>
  <c r="G17" i="6" s="1"/>
  <c r="N14" i="6"/>
  <c r="P14" i="6" s="1"/>
  <c r="O13" i="6"/>
  <c r="X10" i="6"/>
  <c r="W11" i="6"/>
  <c r="Y11" i="6" s="1"/>
  <c r="C19" i="6"/>
  <c r="B20" i="6"/>
  <c r="D20" i="6" s="1"/>
  <c r="K15" i="6"/>
  <c r="M15" i="6" s="1"/>
  <c r="L14" i="6"/>
  <c r="I15" i="6"/>
  <c r="H16" i="6"/>
  <c r="J16" i="6" s="1"/>
  <c r="Z10" i="6"/>
  <c r="AB10" i="6" s="1"/>
  <c r="AA9" i="6"/>
  <c r="AD8" i="6"/>
  <c r="AC9" i="6"/>
  <c r="AE9" i="6" s="1"/>
  <c r="AJ6" i="6"/>
  <c r="AI7" i="6"/>
  <c r="AK7" i="6" s="1"/>
  <c r="U11" i="6"/>
  <c r="T12" i="6"/>
  <c r="V12" i="6" s="1"/>
  <c r="AG7" i="6"/>
  <c r="AF8" i="6"/>
  <c r="AH8" i="6" s="1"/>
  <c r="R12" i="6"/>
  <c r="Q13" i="6"/>
  <c r="S13" i="6" s="1"/>
  <c r="U12" i="6" l="1"/>
  <c r="T13" i="6"/>
  <c r="V13" i="6" s="1"/>
  <c r="C20" i="6"/>
  <c r="B21" i="6"/>
  <c r="D21" i="6" s="1"/>
  <c r="O14" i="6"/>
  <c r="N15" i="6"/>
  <c r="P15" i="6" s="1"/>
  <c r="R13" i="6"/>
  <c r="Q14" i="6"/>
  <c r="S14" i="6" s="1"/>
  <c r="AI8" i="6"/>
  <c r="AK8" i="6" s="1"/>
  <c r="AJ7" i="6"/>
  <c r="AD9" i="6"/>
  <c r="AC10" i="6"/>
  <c r="AE10" i="6" s="1"/>
  <c r="Z11" i="6"/>
  <c r="AB11" i="6" s="1"/>
  <c r="AA10" i="6"/>
  <c r="E18" i="6"/>
  <c r="G18" i="6" s="1"/>
  <c r="F17" i="6"/>
  <c r="H17" i="6"/>
  <c r="J17" i="6" s="1"/>
  <c r="I16" i="6"/>
  <c r="AF9" i="6"/>
  <c r="AH9" i="6" s="1"/>
  <c r="AG8" i="6"/>
  <c r="K16" i="6"/>
  <c r="M16" i="6" s="1"/>
  <c r="L15" i="6"/>
  <c r="X11" i="6"/>
  <c r="W12" i="6"/>
  <c r="Y12" i="6" s="1"/>
  <c r="K17" i="6" l="1"/>
  <c r="M17" i="6" s="1"/>
  <c r="L16" i="6"/>
  <c r="F18" i="6"/>
  <c r="E19" i="6"/>
  <c r="G19" i="6" s="1"/>
  <c r="Z12" i="6"/>
  <c r="AB12" i="6" s="1"/>
  <c r="AA11" i="6"/>
  <c r="T14" i="6"/>
  <c r="V14" i="6" s="1"/>
  <c r="U13" i="6"/>
  <c r="AJ8" i="6"/>
  <c r="AI9" i="6"/>
  <c r="AK9" i="6" s="1"/>
  <c r="C21" i="6"/>
  <c r="B22" i="6"/>
  <c r="D22" i="6" s="1"/>
  <c r="W13" i="6"/>
  <c r="Y13" i="6" s="1"/>
  <c r="X12" i="6"/>
  <c r="R14" i="6"/>
  <c r="Q15" i="6"/>
  <c r="S15" i="6" s="1"/>
  <c r="O15" i="6"/>
  <c r="N16" i="6"/>
  <c r="P16" i="6" s="1"/>
  <c r="AG9" i="6"/>
  <c r="AF10" i="6"/>
  <c r="AH10" i="6" s="1"/>
  <c r="H18" i="6"/>
  <c r="J18" i="6" s="1"/>
  <c r="I17" i="6"/>
  <c r="AD10" i="6"/>
  <c r="AC11" i="6"/>
  <c r="AE11" i="6" s="1"/>
  <c r="Q16" i="6" l="1"/>
  <c r="S16" i="6" s="1"/>
  <c r="R15" i="6"/>
  <c r="AD11" i="6"/>
  <c r="AC12" i="6"/>
  <c r="AE12" i="6" s="1"/>
  <c r="H19" i="6"/>
  <c r="J19" i="6" s="1"/>
  <c r="I18" i="6"/>
  <c r="O16" i="6"/>
  <c r="N17" i="6"/>
  <c r="P17" i="6" s="1"/>
  <c r="W14" i="6"/>
  <c r="Y14" i="6" s="1"/>
  <c r="X13" i="6"/>
  <c r="AJ9" i="6"/>
  <c r="AI10" i="6"/>
  <c r="AK10" i="6" s="1"/>
  <c r="Z13" i="6"/>
  <c r="AB13" i="6" s="1"/>
  <c r="AA12" i="6"/>
  <c r="AG10" i="6"/>
  <c r="AF11" i="6"/>
  <c r="AH11" i="6" s="1"/>
  <c r="T15" i="6"/>
  <c r="V15" i="6" s="1"/>
  <c r="U14" i="6"/>
  <c r="E20" i="6"/>
  <c r="G20" i="6" s="1"/>
  <c r="F19" i="6"/>
  <c r="C22" i="6"/>
  <c r="B23" i="6"/>
  <c r="D23" i="6" s="1"/>
  <c r="K18" i="6"/>
  <c r="M18" i="6" s="1"/>
  <c r="L17" i="6"/>
  <c r="C23" i="6" l="1"/>
  <c r="B24" i="6"/>
  <c r="D24" i="6" s="1"/>
  <c r="AF12" i="6"/>
  <c r="AH12" i="6" s="1"/>
  <c r="AG11" i="6"/>
  <c r="I19" i="6"/>
  <c r="H20" i="6"/>
  <c r="J20" i="6" s="1"/>
  <c r="AA13" i="6"/>
  <c r="Z14" i="6"/>
  <c r="AB14" i="6" s="1"/>
  <c r="O17" i="6"/>
  <c r="N18" i="6"/>
  <c r="P18" i="6" s="1"/>
  <c r="K19" i="6"/>
  <c r="M19" i="6" s="1"/>
  <c r="L18" i="6"/>
  <c r="U15" i="6"/>
  <c r="T16" i="6"/>
  <c r="V16" i="6" s="1"/>
  <c r="AJ10" i="6"/>
  <c r="AI11" i="6"/>
  <c r="AK11" i="6" s="1"/>
  <c r="Q17" i="6"/>
  <c r="S17" i="6" s="1"/>
  <c r="R16" i="6"/>
  <c r="E21" i="6"/>
  <c r="G21" i="6" s="1"/>
  <c r="F20" i="6"/>
  <c r="W15" i="6"/>
  <c r="Y15" i="6" s="1"/>
  <c r="X14" i="6"/>
  <c r="AC13" i="6"/>
  <c r="AE13" i="6" s="1"/>
  <c r="AD12" i="6"/>
  <c r="AJ11" i="6" l="1"/>
  <c r="AI12" i="6"/>
  <c r="AK12" i="6" s="1"/>
  <c r="T17" i="6"/>
  <c r="V17" i="6" s="1"/>
  <c r="U16" i="6"/>
  <c r="AA14" i="6"/>
  <c r="Z15" i="6"/>
  <c r="AB15" i="6" s="1"/>
  <c r="I20" i="6"/>
  <c r="H21" i="6"/>
  <c r="J21" i="6" s="1"/>
  <c r="W16" i="6"/>
  <c r="Y16" i="6" s="1"/>
  <c r="X15" i="6"/>
  <c r="C24" i="6"/>
  <c r="B25" i="6"/>
  <c r="D25" i="6" s="1"/>
  <c r="K20" i="6"/>
  <c r="M20" i="6" s="1"/>
  <c r="L19" i="6"/>
  <c r="AC14" i="6"/>
  <c r="AE14" i="6" s="1"/>
  <c r="AD13" i="6"/>
  <c r="O18" i="6"/>
  <c r="N19" i="6"/>
  <c r="P19" i="6" s="1"/>
  <c r="Q18" i="6"/>
  <c r="S18" i="6" s="1"/>
  <c r="R17" i="6"/>
  <c r="F21" i="6"/>
  <c r="E22" i="6"/>
  <c r="G22" i="6" s="1"/>
  <c r="AG12" i="6"/>
  <c r="AF13" i="6"/>
  <c r="AH13" i="6" s="1"/>
  <c r="AG13" i="6" l="1"/>
  <c r="AF14" i="6"/>
  <c r="AH14" i="6" s="1"/>
  <c r="AA15" i="6"/>
  <c r="Z16" i="6"/>
  <c r="AB16" i="6" s="1"/>
  <c r="AD14" i="6"/>
  <c r="AC15" i="6"/>
  <c r="AE15" i="6" s="1"/>
  <c r="K21" i="6"/>
  <c r="M21" i="6" s="1"/>
  <c r="L20" i="6"/>
  <c r="AI13" i="6"/>
  <c r="AK13" i="6" s="1"/>
  <c r="AJ12" i="6"/>
  <c r="O19" i="6"/>
  <c r="N20" i="6"/>
  <c r="P20" i="6" s="1"/>
  <c r="C25" i="6"/>
  <c r="B26" i="6"/>
  <c r="D26" i="6" s="1"/>
  <c r="H22" i="6"/>
  <c r="J22" i="6" s="1"/>
  <c r="I21" i="6"/>
  <c r="F22" i="6"/>
  <c r="E23" i="6"/>
  <c r="G23" i="6" s="1"/>
  <c r="R18" i="6"/>
  <c r="Q19" i="6"/>
  <c r="S19" i="6" s="1"/>
  <c r="W17" i="6"/>
  <c r="Y17" i="6" s="1"/>
  <c r="X16" i="6"/>
  <c r="U17" i="6"/>
  <c r="T18" i="6"/>
  <c r="V18" i="6" s="1"/>
  <c r="W18" i="6" l="1"/>
  <c r="Y18" i="6" s="1"/>
  <c r="X17" i="6"/>
  <c r="E24" i="6"/>
  <c r="G24" i="6" s="1"/>
  <c r="F23" i="6"/>
  <c r="AF15" i="6"/>
  <c r="AH15" i="6" s="1"/>
  <c r="AG14" i="6"/>
  <c r="T19" i="6"/>
  <c r="V19" i="6" s="1"/>
  <c r="U18" i="6"/>
  <c r="C26" i="6"/>
  <c r="B27" i="6"/>
  <c r="D27" i="6" s="1"/>
  <c r="H23" i="6"/>
  <c r="J23" i="6" s="1"/>
  <c r="I22" i="6"/>
  <c r="K22" i="6"/>
  <c r="M22" i="6" s="1"/>
  <c r="L21" i="6"/>
  <c r="R19" i="6"/>
  <c r="Q20" i="6"/>
  <c r="S20" i="6" s="1"/>
  <c r="O20" i="6"/>
  <c r="N21" i="6"/>
  <c r="P21" i="6" s="1"/>
  <c r="AI14" i="6"/>
  <c r="AK14" i="6" s="1"/>
  <c r="AJ13" i="6"/>
  <c r="AD15" i="6"/>
  <c r="AC16" i="6"/>
  <c r="AE16" i="6" s="1"/>
  <c r="AA16" i="6"/>
  <c r="Z17" i="6"/>
  <c r="AB17" i="6" s="1"/>
  <c r="AA17" i="6" l="1"/>
  <c r="Z18" i="6"/>
  <c r="AB18" i="6" s="1"/>
  <c r="O21" i="6"/>
  <c r="N22" i="6"/>
  <c r="P22" i="6" s="1"/>
  <c r="K23" i="6"/>
  <c r="M23" i="6" s="1"/>
  <c r="L22" i="6"/>
  <c r="AF16" i="6"/>
  <c r="AH16" i="6" s="1"/>
  <c r="AG15" i="6"/>
  <c r="AI15" i="6"/>
  <c r="AK15" i="6" s="1"/>
  <c r="AJ14" i="6"/>
  <c r="Q21" i="6"/>
  <c r="S21" i="6" s="1"/>
  <c r="R20" i="6"/>
  <c r="C27" i="6"/>
  <c r="B28" i="6"/>
  <c r="D28" i="6" s="1"/>
  <c r="T20" i="6"/>
  <c r="V20" i="6" s="1"/>
  <c r="U19" i="6"/>
  <c r="I23" i="6"/>
  <c r="H24" i="6"/>
  <c r="J24" i="6" s="1"/>
  <c r="AC17" i="6"/>
  <c r="AE17" i="6" s="1"/>
  <c r="AD16" i="6"/>
  <c r="E25" i="6"/>
  <c r="G25" i="6" s="1"/>
  <c r="F24" i="6"/>
  <c r="W19" i="6"/>
  <c r="Y19" i="6" s="1"/>
  <c r="X18" i="6"/>
  <c r="AG16" i="6" l="1"/>
  <c r="AF17" i="6"/>
  <c r="AH17" i="6" s="1"/>
  <c r="K24" i="6"/>
  <c r="M24" i="6" s="1"/>
  <c r="L23" i="6"/>
  <c r="AA18" i="6"/>
  <c r="Z19" i="6"/>
  <c r="AB19" i="6" s="1"/>
  <c r="W20" i="6"/>
  <c r="Y20" i="6" s="1"/>
  <c r="X19" i="6"/>
  <c r="I24" i="6"/>
  <c r="H25" i="6"/>
  <c r="J25" i="6" s="1"/>
  <c r="U20" i="6"/>
  <c r="T21" i="6"/>
  <c r="V21" i="6" s="1"/>
  <c r="O22" i="6"/>
  <c r="N23" i="6"/>
  <c r="P23" i="6" s="1"/>
  <c r="F25" i="6"/>
  <c r="E26" i="6"/>
  <c r="G26" i="6" s="1"/>
  <c r="C28" i="6"/>
  <c r="B29" i="6"/>
  <c r="D29" i="6" s="1"/>
  <c r="AC18" i="6"/>
  <c r="AE18" i="6" s="1"/>
  <c r="AD17" i="6"/>
  <c r="Q22" i="6"/>
  <c r="S22" i="6" s="1"/>
  <c r="R21" i="6"/>
  <c r="AI16" i="6"/>
  <c r="AK16" i="6" s="1"/>
  <c r="AJ15" i="6"/>
  <c r="R22" i="6" l="1"/>
  <c r="Q23" i="6"/>
  <c r="S23" i="6" s="1"/>
  <c r="F26" i="6"/>
  <c r="E27" i="6"/>
  <c r="G27" i="6" s="1"/>
  <c r="O23" i="6"/>
  <c r="N24" i="6"/>
  <c r="P24" i="6" s="1"/>
  <c r="K25" i="6"/>
  <c r="M25" i="6" s="1"/>
  <c r="L24" i="6"/>
  <c r="C29" i="6"/>
  <c r="B30" i="6"/>
  <c r="D30" i="6" s="1"/>
  <c r="H26" i="6"/>
  <c r="J26" i="6" s="1"/>
  <c r="I25" i="6"/>
  <c r="AI17" i="6"/>
  <c r="AK17" i="6" s="1"/>
  <c r="AJ16" i="6"/>
  <c r="W21" i="6"/>
  <c r="Y21" i="6" s="1"/>
  <c r="X20" i="6"/>
  <c r="AG17" i="6"/>
  <c r="AF18" i="6"/>
  <c r="AH18" i="6" s="1"/>
  <c r="AC19" i="6"/>
  <c r="AE19" i="6" s="1"/>
  <c r="AD18" i="6"/>
  <c r="U21" i="6"/>
  <c r="T22" i="6"/>
  <c r="V22" i="6" s="1"/>
  <c r="AA19" i="6"/>
  <c r="Z20" i="6"/>
  <c r="AB20" i="6" s="1"/>
  <c r="H27" i="6" l="1"/>
  <c r="J27" i="6" s="1"/>
  <c r="I26" i="6"/>
  <c r="O24" i="6"/>
  <c r="N25" i="6"/>
  <c r="P25" i="6" s="1"/>
  <c r="AA20" i="6"/>
  <c r="Z21" i="6"/>
  <c r="AB21" i="6" s="1"/>
  <c r="AI18" i="6"/>
  <c r="AK18" i="6" s="1"/>
  <c r="AJ17" i="6"/>
  <c r="R23" i="6"/>
  <c r="Q24" i="6"/>
  <c r="S24" i="6" s="1"/>
  <c r="AG18" i="6"/>
  <c r="AF19" i="6"/>
  <c r="AH19" i="6" s="1"/>
  <c r="W22" i="6"/>
  <c r="Y22" i="6" s="1"/>
  <c r="X21" i="6"/>
  <c r="C30" i="6"/>
  <c r="B31" i="6"/>
  <c r="D31" i="6" s="1"/>
  <c r="K26" i="6"/>
  <c r="M26" i="6" s="1"/>
  <c r="L25" i="6"/>
  <c r="E28" i="6"/>
  <c r="G28" i="6" s="1"/>
  <c r="F27" i="6"/>
  <c r="T23" i="6"/>
  <c r="V23" i="6" s="1"/>
  <c r="U22" i="6"/>
  <c r="AD19" i="6"/>
  <c r="AC20" i="6"/>
  <c r="AE20" i="6" s="1"/>
  <c r="E29" i="6" l="1"/>
  <c r="G29" i="6" s="1"/>
  <c r="F28" i="6"/>
  <c r="T24" i="6"/>
  <c r="V24" i="6" s="1"/>
  <c r="U23" i="6"/>
  <c r="W23" i="6"/>
  <c r="Y23" i="6" s="1"/>
  <c r="X22" i="6"/>
  <c r="Q25" i="6"/>
  <c r="S25" i="6" s="1"/>
  <c r="R24" i="6"/>
  <c r="C31" i="6"/>
  <c r="B32" i="6"/>
  <c r="D32" i="6" s="1"/>
  <c r="AA21" i="6"/>
  <c r="Z22" i="6"/>
  <c r="AB22" i="6" s="1"/>
  <c r="AF20" i="6"/>
  <c r="AH20" i="6" s="1"/>
  <c r="AG19" i="6"/>
  <c r="AI19" i="6"/>
  <c r="AK19" i="6" s="1"/>
  <c r="AJ18" i="6"/>
  <c r="O25" i="6"/>
  <c r="N26" i="6"/>
  <c r="P26" i="6" s="1"/>
  <c r="AD20" i="6"/>
  <c r="AC21" i="6"/>
  <c r="AE21" i="6" s="1"/>
  <c r="K27" i="6"/>
  <c r="M27" i="6" s="1"/>
  <c r="L26" i="6"/>
  <c r="I27" i="6"/>
  <c r="H28" i="6"/>
  <c r="J28" i="6" s="1"/>
  <c r="I28" i="6" l="1"/>
  <c r="H29" i="6"/>
  <c r="J29" i="6" s="1"/>
  <c r="K28" i="6"/>
  <c r="M28" i="6" s="1"/>
  <c r="L27" i="6"/>
  <c r="O26" i="6"/>
  <c r="N27" i="6"/>
  <c r="P27" i="6" s="1"/>
  <c r="AF21" i="6"/>
  <c r="AH21" i="6" s="1"/>
  <c r="AG20" i="6"/>
  <c r="Q26" i="6"/>
  <c r="S26" i="6" s="1"/>
  <c r="R25" i="6"/>
  <c r="W24" i="6"/>
  <c r="Y24" i="6" s="1"/>
  <c r="X23" i="6"/>
  <c r="U24" i="6"/>
  <c r="T25" i="6"/>
  <c r="V25" i="6" s="1"/>
  <c r="AC22" i="6"/>
  <c r="AE22" i="6" s="1"/>
  <c r="AD21" i="6"/>
  <c r="AI20" i="6"/>
  <c r="AK20" i="6" s="1"/>
  <c r="AJ19" i="6"/>
  <c r="AA22" i="6"/>
  <c r="Z23" i="6"/>
  <c r="AB23" i="6" s="1"/>
  <c r="C32" i="6"/>
  <c r="B33" i="6"/>
  <c r="D33" i="6" s="1"/>
  <c r="E30" i="6"/>
  <c r="G30" i="6" s="1"/>
  <c r="F29" i="6"/>
  <c r="AC23" i="6" l="1"/>
  <c r="AE23" i="6" s="1"/>
  <c r="AD22" i="6"/>
  <c r="K29" i="6"/>
  <c r="M29" i="6" s="1"/>
  <c r="L28" i="6"/>
  <c r="E31" i="6"/>
  <c r="G31" i="6" s="1"/>
  <c r="F30" i="6"/>
  <c r="AA23" i="6"/>
  <c r="Z24" i="6"/>
  <c r="AB24" i="6" s="1"/>
  <c r="R26" i="6"/>
  <c r="Q27" i="6"/>
  <c r="S27" i="6" s="1"/>
  <c r="AG21" i="6"/>
  <c r="AF22" i="6"/>
  <c r="AH22" i="6" s="1"/>
  <c r="I29" i="6"/>
  <c r="H30" i="6"/>
  <c r="J30" i="6" s="1"/>
  <c r="U25" i="6"/>
  <c r="T26" i="6"/>
  <c r="V26" i="6" s="1"/>
  <c r="W25" i="6"/>
  <c r="Y25" i="6" s="1"/>
  <c r="X24" i="6"/>
  <c r="O27" i="6"/>
  <c r="N28" i="6"/>
  <c r="P28" i="6" s="1"/>
  <c r="C33" i="6"/>
  <c r="B34" i="6"/>
  <c r="D34" i="6" s="1"/>
  <c r="AI21" i="6"/>
  <c r="AK21" i="6" s="1"/>
  <c r="AJ20" i="6"/>
  <c r="Q28" i="6" l="1"/>
  <c r="S28" i="6" s="1"/>
  <c r="R27" i="6"/>
  <c r="AA24" i="6"/>
  <c r="Z25" i="6"/>
  <c r="AB25" i="6" s="1"/>
  <c r="E32" i="6"/>
  <c r="G32" i="6" s="1"/>
  <c r="F31" i="6"/>
  <c r="AD23" i="6"/>
  <c r="AC24" i="6"/>
  <c r="AE24" i="6" s="1"/>
  <c r="T27" i="6"/>
  <c r="V27" i="6" s="1"/>
  <c r="U26" i="6"/>
  <c r="AI22" i="6"/>
  <c r="AK22" i="6" s="1"/>
  <c r="AJ21" i="6"/>
  <c r="C34" i="6"/>
  <c r="B35" i="6"/>
  <c r="D35" i="6" s="1"/>
  <c r="O28" i="6"/>
  <c r="N29" i="6"/>
  <c r="P29" i="6" s="1"/>
  <c r="W26" i="6"/>
  <c r="Y26" i="6" s="1"/>
  <c r="X25" i="6"/>
  <c r="I30" i="6"/>
  <c r="H31" i="6"/>
  <c r="J31" i="6" s="1"/>
  <c r="AG22" i="6"/>
  <c r="AF23" i="6"/>
  <c r="AH23" i="6" s="1"/>
  <c r="K30" i="6"/>
  <c r="M30" i="6" s="1"/>
  <c r="L29" i="6"/>
  <c r="E33" i="6" l="1"/>
  <c r="G33" i="6" s="1"/>
  <c r="F32" i="6"/>
  <c r="K31" i="6"/>
  <c r="M31" i="6" s="1"/>
  <c r="L30" i="6"/>
  <c r="O29" i="6"/>
  <c r="N30" i="6"/>
  <c r="P30" i="6" s="1"/>
  <c r="AI23" i="6"/>
  <c r="AK23" i="6" s="1"/>
  <c r="AJ22" i="6"/>
  <c r="AD24" i="6"/>
  <c r="AC25" i="6"/>
  <c r="AE25" i="6" s="1"/>
  <c r="AF24" i="6"/>
  <c r="AH24" i="6" s="1"/>
  <c r="AG23" i="6"/>
  <c r="I31" i="6"/>
  <c r="H32" i="6"/>
  <c r="J32" i="6" s="1"/>
  <c r="W27" i="6"/>
  <c r="Y27" i="6" s="1"/>
  <c r="X26" i="6"/>
  <c r="C35" i="6"/>
  <c r="B36" i="6"/>
  <c r="D36" i="6" s="1"/>
  <c r="T28" i="6"/>
  <c r="V28" i="6" s="1"/>
  <c r="U27" i="6"/>
  <c r="AA25" i="6"/>
  <c r="Z26" i="6"/>
  <c r="AB26" i="6" s="1"/>
  <c r="Q29" i="6"/>
  <c r="S29" i="6" s="1"/>
  <c r="R28" i="6"/>
  <c r="U28" i="6" l="1"/>
  <c r="T29" i="6"/>
  <c r="V29" i="6" s="1"/>
  <c r="I32" i="6"/>
  <c r="H33" i="6"/>
  <c r="J33" i="6" s="1"/>
  <c r="AF25" i="6"/>
  <c r="AH25" i="6" s="1"/>
  <c r="AG24" i="6"/>
  <c r="AC26" i="6"/>
  <c r="AE26" i="6" s="1"/>
  <c r="AD25" i="6"/>
  <c r="C36" i="6"/>
  <c r="W28" i="6"/>
  <c r="Y28" i="6" s="1"/>
  <c r="X27" i="6"/>
  <c r="AI24" i="6"/>
  <c r="AK24" i="6" s="1"/>
  <c r="AJ23" i="6"/>
  <c r="Q30" i="6"/>
  <c r="S30" i="6" s="1"/>
  <c r="R29" i="6"/>
  <c r="AA26" i="6"/>
  <c r="Z27" i="6"/>
  <c r="AB27" i="6" s="1"/>
  <c r="O30" i="6"/>
  <c r="N31" i="6"/>
  <c r="P31" i="6" s="1"/>
  <c r="K32" i="6"/>
  <c r="M32" i="6" s="1"/>
  <c r="L31" i="6"/>
  <c r="E34" i="6"/>
  <c r="G34" i="6" s="1"/>
  <c r="F33" i="6"/>
  <c r="AC27" i="6" l="1"/>
  <c r="AE27" i="6" s="1"/>
  <c r="AD26" i="6"/>
  <c r="AG25" i="6"/>
  <c r="AF26" i="6"/>
  <c r="AH26" i="6" s="1"/>
  <c r="W29" i="6"/>
  <c r="Y29" i="6" s="1"/>
  <c r="X28" i="6"/>
  <c r="K33" i="6"/>
  <c r="M33" i="6" s="1"/>
  <c r="L32" i="6"/>
  <c r="AI25" i="6"/>
  <c r="AK25" i="6" s="1"/>
  <c r="AJ24" i="6"/>
  <c r="U29" i="6"/>
  <c r="T30" i="6"/>
  <c r="V30" i="6" s="1"/>
  <c r="E35" i="6"/>
  <c r="G35" i="6" s="1"/>
  <c r="F34" i="6"/>
  <c r="O31" i="6"/>
  <c r="N32" i="6"/>
  <c r="P32" i="6" s="1"/>
  <c r="AA27" i="6"/>
  <c r="Z28" i="6"/>
  <c r="AB28" i="6" s="1"/>
  <c r="Q31" i="6"/>
  <c r="S31" i="6" s="1"/>
  <c r="R30" i="6"/>
  <c r="I33" i="6"/>
  <c r="H34" i="6"/>
  <c r="J34" i="6" s="1"/>
  <c r="I34" i="6" l="1"/>
  <c r="H35" i="6"/>
  <c r="J35" i="6" s="1"/>
  <c r="Q32" i="6"/>
  <c r="S32" i="6" s="1"/>
  <c r="R31" i="6"/>
  <c r="O32" i="6"/>
  <c r="N33" i="6"/>
  <c r="P33" i="6" s="1"/>
  <c r="AA28" i="6"/>
  <c r="Z29" i="6"/>
  <c r="AB29" i="6" s="1"/>
  <c r="E36" i="6"/>
  <c r="G36" i="6" s="1"/>
  <c r="F35" i="6"/>
  <c r="K34" i="6"/>
  <c r="M34" i="6" s="1"/>
  <c r="L33" i="6"/>
  <c r="W30" i="6"/>
  <c r="Y30" i="6" s="1"/>
  <c r="X29" i="6"/>
  <c r="U30" i="6"/>
  <c r="T31" i="6"/>
  <c r="V31" i="6" s="1"/>
  <c r="AI26" i="6"/>
  <c r="AK26" i="6" s="1"/>
  <c r="AJ25" i="6"/>
  <c r="AF27" i="6"/>
  <c r="AH27" i="6" s="1"/>
  <c r="AG26" i="6"/>
  <c r="AC28" i="6"/>
  <c r="AE28" i="6" s="1"/>
  <c r="AD27" i="6"/>
  <c r="AG27" i="6" l="1"/>
  <c r="AF28" i="6"/>
  <c r="AH28" i="6" s="1"/>
  <c r="AA29" i="6"/>
  <c r="Z30" i="6"/>
  <c r="AB30" i="6" s="1"/>
  <c r="U31" i="6"/>
  <c r="T32" i="6"/>
  <c r="V32" i="6" s="1"/>
  <c r="W31" i="6"/>
  <c r="Y31" i="6" s="1"/>
  <c r="X30" i="6"/>
  <c r="O33" i="6"/>
  <c r="N34" i="6"/>
  <c r="P34" i="6" s="1"/>
  <c r="Q33" i="6"/>
  <c r="S33" i="6" s="1"/>
  <c r="R32" i="6"/>
  <c r="AC29" i="6"/>
  <c r="AE29" i="6" s="1"/>
  <c r="AD28" i="6"/>
  <c r="I35" i="6"/>
  <c r="H36" i="6"/>
  <c r="J36" i="6" s="1"/>
  <c r="AI27" i="6"/>
  <c r="AK27" i="6" s="1"/>
  <c r="AJ26" i="6"/>
  <c r="K35" i="6"/>
  <c r="M35" i="6" s="1"/>
  <c r="L34" i="6"/>
  <c r="F36" i="6"/>
  <c r="Q34" i="6" l="1"/>
  <c r="S34" i="6" s="1"/>
  <c r="R33" i="6"/>
  <c r="U32" i="6"/>
  <c r="T33" i="6"/>
  <c r="V33" i="6" s="1"/>
  <c r="I36" i="6"/>
  <c r="AC30" i="6"/>
  <c r="AE30" i="6" s="1"/>
  <c r="AD29" i="6"/>
  <c r="O34" i="6"/>
  <c r="N35" i="6"/>
  <c r="P35" i="6" s="1"/>
  <c r="W32" i="6"/>
  <c r="Y32" i="6" s="1"/>
  <c r="X31" i="6"/>
  <c r="AG28" i="6"/>
  <c r="AF29" i="6"/>
  <c r="AH29" i="6" s="1"/>
  <c r="K36" i="6"/>
  <c r="M36" i="6" s="1"/>
  <c r="L35" i="6"/>
  <c r="AI28" i="6"/>
  <c r="AK28" i="6" s="1"/>
  <c r="AJ27" i="6"/>
  <c r="AA30" i="6"/>
  <c r="Z31" i="6"/>
  <c r="AB31" i="6" s="1"/>
  <c r="W33" i="6" l="1"/>
  <c r="Y33" i="6" s="1"/>
  <c r="X32" i="6"/>
  <c r="L36" i="6"/>
  <c r="AG29" i="6"/>
  <c r="AF30" i="6"/>
  <c r="AH30" i="6" s="1"/>
  <c r="AA31" i="6"/>
  <c r="Z32" i="6"/>
  <c r="AB32" i="6" s="1"/>
  <c r="AI29" i="6"/>
  <c r="AK29" i="6" s="1"/>
  <c r="AJ28" i="6"/>
  <c r="O35" i="6"/>
  <c r="N36" i="6"/>
  <c r="P36" i="6" s="1"/>
  <c r="AC31" i="6"/>
  <c r="AE31" i="6" s="1"/>
  <c r="AD30" i="6"/>
  <c r="U33" i="6"/>
  <c r="T34" i="6"/>
  <c r="V34" i="6" s="1"/>
  <c r="Q35" i="6"/>
  <c r="S35" i="6" s="1"/>
  <c r="R34" i="6"/>
  <c r="Q36" i="6" l="1"/>
  <c r="S36" i="6" s="1"/>
  <c r="R35" i="6"/>
  <c r="AG30" i="6"/>
  <c r="AF31" i="6"/>
  <c r="AH31" i="6" s="1"/>
  <c r="U34" i="6"/>
  <c r="T35" i="6"/>
  <c r="V35" i="6" s="1"/>
  <c r="AC32" i="6"/>
  <c r="AE32" i="6" s="1"/>
  <c r="AD31" i="6"/>
  <c r="AA32" i="6"/>
  <c r="Z33" i="6"/>
  <c r="AB33" i="6" s="1"/>
  <c r="W34" i="6"/>
  <c r="Y34" i="6" s="1"/>
  <c r="X33" i="6"/>
  <c r="O36" i="6"/>
  <c r="AI30" i="6"/>
  <c r="AK30" i="6" s="1"/>
  <c r="AJ29" i="6"/>
  <c r="AA33" i="6" l="1"/>
  <c r="Z34" i="6"/>
  <c r="AB34" i="6" s="1"/>
  <c r="AI31" i="6"/>
  <c r="AK31" i="6" s="1"/>
  <c r="AJ30" i="6"/>
  <c r="AC33" i="6"/>
  <c r="AE33" i="6" s="1"/>
  <c r="AD32" i="6"/>
  <c r="W35" i="6"/>
  <c r="Y35" i="6" s="1"/>
  <c r="X34" i="6"/>
  <c r="U35" i="6"/>
  <c r="T36" i="6"/>
  <c r="V36" i="6" s="1"/>
  <c r="AG31" i="6"/>
  <c r="AF32" i="6"/>
  <c r="AH32" i="6" s="1"/>
  <c r="R36" i="6"/>
  <c r="W36" i="6" l="1"/>
  <c r="Y36" i="6" s="1"/>
  <c r="X35" i="6"/>
  <c r="AC34" i="6"/>
  <c r="AE34" i="6" s="1"/>
  <c r="AD33" i="6"/>
  <c r="AG32" i="6"/>
  <c r="AF33" i="6"/>
  <c r="AH33" i="6" s="1"/>
  <c r="U36" i="6"/>
  <c r="AA34" i="6"/>
  <c r="Z35" i="6"/>
  <c r="AB35" i="6" s="1"/>
  <c r="AI32" i="6"/>
  <c r="AK32" i="6" s="1"/>
  <c r="AJ31" i="6"/>
  <c r="AG33" i="6" l="1"/>
  <c r="AF34" i="6"/>
  <c r="AH34" i="6" s="1"/>
  <c r="AI33" i="6"/>
  <c r="AK33" i="6" s="1"/>
  <c r="AJ32" i="6"/>
  <c r="X36" i="6"/>
  <c r="AC35" i="6"/>
  <c r="AE35" i="6" s="1"/>
  <c r="AD34" i="6"/>
  <c r="AA35" i="6"/>
  <c r="Z36" i="6"/>
  <c r="AB36" i="6" s="1"/>
  <c r="AA36" i="6" l="1"/>
  <c r="AG34" i="6"/>
  <c r="AF35" i="6"/>
  <c r="AH35" i="6" s="1"/>
  <c r="AC36" i="6"/>
  <c r="AE36" i="6" s="1"/>
  <c r="AD35" i="6"/>
  <c r="AI34" i="6"/>
  <c r="AK34" i="6" s="1"/>
  <c r="AJ33" i="6"/>
  <c r="AG35" i="6" l="1"/>
  <c r="AF36" i="6"/>
  <c r="AH36" i="6" s="1"/>
  <c r="AI35" i="6"/>
  <c r="AK35" i="6" s="1"/>
  <c r="AJ34" i="6"/>
  <c r="AD36" i="6"/>
  <c r="AG36" i="6" l="1"/>
  <c r="AI36" i="6"/>
  <c r="AK36" i="6" s="1"/>
  <c r="AJ35" i="6"/>
  <c r="AJ36" i="6" l="1"/>
</calcChain>
</file>

<file path=xl/sharedStrings.xml><?xml version="1.0" encoding="utf-8"?>
<sst xmlns="http://schemas.openxmlformats.org/spreadsheetml/2006/main" count="1100" uniqueCount="146">
  <si>
    <t>Pays</t>
  </si>
  <si>
    <t>France</t>
  </si>
  <si>
    <t>https://exceller-avec-la-bureautique.com</t>
  </si>
  <si>
    <t>Afficher le n° de semaine</t>
  </si>
  <si>
    <t>Non</t>
  </si>
  <si>
    <t>Année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</si>
  <si>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</si>
  <si>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</si>
  <si>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</si>
  <si>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</si>
  <si>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</si>
  <si>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</si>
  <si>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</si>
  <si>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</si>
  <si>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</si>
  <si>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</si>
  <si>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</si>
  <si>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</si>
  <si>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Jour férié</t>
  </si>
  <si>
    <t>Belgique</t>
  </si>
  <si>
    <t>Jour de l'an</t>
  </si>
  <si>
    <t>Pâques</t>
  </si>
  <si>
    <t>Lundi de Pâques</t>
  </si>
  <si>
    <t>Ascension</t>
  </si>
  <si>
    <t>Pentecôte</t>
  </si>
  <si>
    <t>Lundi de Pentecôte</t>
  </si>
  <si>
    <t>Assomption</t>
  </si>
  <si>
    <t>Toussaint</t>
  </si>
  <si>
    <t>Noël</t>
  </si>
  <si>
    <t>Fête du Canada</t>
  </si>
  <si>
    <t>Vendredi Saint</t>
  </si>
  <si>
    <t>Jeûne genevois</t>
  </si>
  <si>
    <t>Jeûne fédéral</t>
  </si>
  <si>
    <t>Oui</t>
  </si>
  <si>
    <t>Alsace Moselle</t>
  </si>
  <si>
    <t>Réunion</t>
  </si>
  <si>
    <t>Martinique</t>
  </si>
  <si>
    <t>Guadeloupe</t>
  </si>
  <si>
    <t>Guyane française</t>
  </si>
  <si>
    <t>Polynésie française</t>
  </si>
  <si>
    <t>Nouvelle-Calédonie</t>
  </si>
  <si>
    <t>Mayotte</t>
  </si>
  <si>
    <t>Saint-Pierre-et-Miquelon</t>
  </si>
  <si>
    <t>Luxembourg</t>
  </si>
  <si>
    <t>Québec</t>
  </si>
  <si>
    <t>Suisse</t>
  </si>
  <si>
    <t>Suisse AG</t>
  </si>
  <si>
    <t>Suisse AI</t>
  </si>
  <si>
    <t>Suisse AR</t>
  </si>
  <si>
    <t>Suisse BE</t>
  </si>
  <si>
    <t>Suisse BL</t>
  </si>
  <si>
    <t>Suisse BS</t>
  </si>
  <si>
    <t>Suisse FR</t>
  </si>
  <si>
    <t>Suisse GE</t>
  </si>
  <si>
    <t>Suisse GL</t>
  </si>
  <si>
    <t>Suisse GR</t>
  </si>
  <si>
    <t>Suisse JU</t>
  </si>
  <si>
    <t>Suisse LU</t>
  </si>
  <si>
    <t>Suisse NE</t>
  </si>
  <si>
    <t>Suisse NW</t>
  </si>
  <si>
    <t>Suisse OW</t>
  </si>
  <si>
    <t>Suisse SG</t>
  </si>
  <si>
    <t>Suisse SH</t>
  </si>
  <si>
    <t>Suisse SO</t>
  </si>
  <si>
    <t>Suisse SZ</t>
  </si>
  <si>
    <t>Suisse TG</t>
  </si>
  <si>
    <t>Suisse TI</t>
  </si>
  <si>
    <t>Suisse UR</t>
  </si>
  <si>
    <t>Suisse VD</t>
  </si>
  <si>
    <t>Suisse VS</t>
  </si>
  <si>
    <t>Suisse ZG</t>
  </si>
  <si>
    <t>Suisse ZH</t>
  </si>
  <si>
    <t>Allemagne BW</t>
  </si>
  <si>
    <t>Allemagne BY</t>
  </si>
  <si>
    <t>Allemagne BE</t>
  </si>
  <si>
    <t>Allemagne BB</t>
  </si>
  <si>
    <t>Allemagne HB</t>
  </si>
  <si>
    <t>Allemagne HH</t>
  </si>
  <si>
    <t>Allemagne HE</t>
  </si>
  <si>
    <t>Allemagne MV</t>
  </si>
  <si>
    <t>Allemagne NI</t>
  </si>
  <si>
    <t>Allemagne NW</t>
  </si>
  <si>
    <t>Allemagne RP</t>
  </si>
  <si>
    <t>Allemagne SL</t>
  </si>
  <si>
    <t>Allemagne SN</t>
  </si>
  <si>
    <t>Allemagne ST</t>
  </si>
  <si>
    <t>Allemagne SH</t>
  </si>
  <si>
    <t>Allemagne TH</t>
  </si>
  <si>
    <t>x</t>
  </si>
  <si>
    <t>Pâques +1h</t>
  </si>
  <si>
    <t>US-Canada</t>
  </si>
  <si>
    <t>Fête du Travail</t>
  </si>
  <si>
    <t>Victoire 1945</t>
  </si>
  <si>
    <t>Fête nationale</t>
  </si>
  <si>
    <t xml:space="preserve">heure d'hiver -1h </t>
  </si>
  <si>
    <t>Armistice 1918</t>
  </si>
  <si>
    <t>Saint Étienne</t>
  </si>
  <si>
    <t>Abolition esclavage</t>
  </si>
  <si>
    <t xml:space="preserve">Fête des mères </t>
  </si>
  <si>
    <t xml:space="preserve">Fête des pères </t>
  </si>
  <si>
    <t xml:space="preserve">Fête des grand-mères </t>
  </si>
  <si>
    <t>Épiphanie</t>
  </si>
  <si>
    <t>2e dim après Noël</t>
  </si>
  <si>
    <t>date fixe 6/1</t>
  </si>
  <si>
    <t>Fête-Dieu</t>
  </si>
  <si>
    <t>Immaculée Conception</t>
  </si>
  <si>
    <t xml:space="preserve">Mardi gras </t>
  </si>
  <si>
    <t xml:space="preserve">Cendres </t>
  </si>
  <si>
    <t>mercredi des cendres</t>
  </si>
  <si>
    <t xml:space="preserve">Mi-Carême </t>
  </si>
  <si>
    <t>Guyane</t>
  </si>
  <si>
    <t>Jour des Défunts</t>
  </si>
  <si>
    <t>Patriotes</t>
  </si>
  <si>
    <t>Action de grâces</t>
  </si>
  <si>
    <t>Saint Berchtold</t>
  </si>
  <si>
    <t>Instauration de la République</t>
  </si>
  <si>
    <t>Saint Joseph</t>
  </si>
  <si>
    <t>Fahrtsfest</t>
  </si>
  <si>
    <t>lundi du Jeûne fédéral</t>
  </si>
  <si>
    <t>St Nicolas de Flüe</t>
  </si>
  <si>
    <t>Restauration de la République</t>
  </si>
  <si>
    <t>Arrivée Évangile</t>
  </si>
  <si>
    <t>Polynésie</t>
  </si>
  <si>
    <t>Fête Autonomie</t>
  </si>
  <si>
    <t>Fête citoyenneté</t>
  </si>
  <si>
    <t>Libération SPM</t>
  </si>
  <si>
    <t>Unité allemande</t>
  </si>
  <si>
    <t>Allemagne</t>
  </si>
  <si>
    <t>Réformation</t>
  </si>
  <si>
    <t>Buß- und Bettag</t>
  </si>
  <si>
    <t xml:space="preserve">Fête des grand-pères </t>
  </si>
  <si>
    <t>A afficher</t>
  </si>
  <si>
    <t xml:space="preserve">Heure d'été +1h </t>
  </si>
  <si>
    <t>p</t>
  </si>
  <si>
    <t>f</t>
  </si>
  <si>
    <t>Départ</t>
  </si>
  <si>
    <t>Mois</t>
  </si>
  <si>
    <t>N°</t>
  </si>
  <si>
    <t xml:space="preserve">Afficher Aujourd'hui </t>
  </si>
  <si>
    <t xml:space="preserve">Heure d'hiver -1h </t>
  </si>
  <si>
    <t>Commentaires</t>
  </si>
  <si>
    <t>Jour Férié Année N</t>
  </si>
  <si>
    <t>Jour Férié Année N+1</t>
  </si>
  <si>
    <t>Fête primaire (f) ou dates particulières (p)</t>
  </si>
  <si>
    <t>Afficher dates particulières</t>
  </si>
  <si>
    <t>Merci au site : http://trk.free.fr/ qui m'a permis de récupérer l'ensemble des jours fériés par canton Suisse et Land allemand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</si>
</sst>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mmmm"/>
    <numFmt numFmtId="165" formatCode="ddd"/>
    <numFmt numFmtId="166" formatCode="[$-F800]dddd\,\ mmmm\ dd\,\ yyyy"/>
    <numFmt numFmtId="167" formatCode="dd"/>
  </numFmts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2"/>
      <color theme="0"/>
      <name val="Arial"/>
      <family val="2"/>
    </font>
    <font>
      <sz val="10"/>
      <color theme="2" tint="-0.89999084444715716"/>
      <name val="Arial"/>
      <family val="2"/>
    </font>
    <font>
      <u/>
      <sz val="11"/>
      <color theme="10"/>
      <name val="Arial"/>
      <family val="2"/>
    </font>
    <font>
      <u/>
      <sz val="14"/>
      <color theme="1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0" borderId="0" xfId="1" applyFont="1" applyAlignment="1">
      <alignment horizontal="left" vertical="top"/>
    </xf>
    <xf numFmtId="165" fontId="5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164" fontId="4" fillId="2" borderId="0" xfId="0" applyNumberFormat="1" applyFont="1" applyFill="1" applyBorder="1" applyAlignment="1">
      <alignment horizontal="left" vertical="center" wrapText="1" indent="5"/>
    </xf>
    <xf numFmtId="0" fontId="0" fillId="0" borderId="0" xfId="0" applyAlignment="1">
      <alignment vertic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167" fontId="1" fillId="0" borderId="0" xfId="0" applyNumberFormat="1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indent="1"/>
    </xf>
    <xf numFmtId="0" fontId="0" fillId="0" borderId="0" xfId="0" applyAlignment="1">
      <alignment horizontal="left"/>
    </xf>
    <xf numFmtId="0" fontId="4" fillId="2" borderId="0" xfId="0" applyFont="1" applyFill="1" applyBorder="1" applyAlignment="1">
      <alignment horizontal="right" vertic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8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90" wrapText="0" indent="0" justifyLastLine="0" shrinkToFit="0" readingOrder="0"/>
    </dxf>
    <dxf>
      <fill>
        <patternFill patternType="solid">
          <bgColor rgb="FFFFF9E7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border>
        <right/>
        <vertical/>
        <horizontal/>
      </border>
    </dxf>
    <dxf>
      <border>
        <left/>
        <vertical/>
        <horizontal/>
      </border>
    </dxf>
    <dxf>
      <border>
        <bottom/>
        <vertical/>
        <horizontal/>
      </border>
    </dxf>
    <dxf>
      <border>
        <bottom/>
        <vertical/>
        <horizontal/>
      </border>
    </dxf>
    <dxf>
      <border>
        <bottom/>
        <vertical/>
        <horizontal/>
      </border>
    </dxf>
    <dxf>
      <border>
        <bottom/>
        <vertical/>
        <horizontal/>
      </border>
    </dxf>
    <dxf>
      <border>
        <left style="thin">
          <color theme="0"/>
        </left>
        <vertical/>
        <horizontal/>
      </border>
    </dxf>
    <dxf>
      <font>
        <b/>
        <i val="0"/>
      </font>
      <fill>
        <patternFill>
          <bgColor rgb="FF312F2F"/>
        </patternFill>
      </fill>
    </dxf>
    <dxf>
      <font>
        <color theme="0"/>
      </font>
      <fill>
        <patternFill>
          <bgColor theme="2" tint="-0.499984740745262"/>
        </patternFill>
      </fill>
    </dxf>
    <dxf>
      <fill>
        <patternFill>
          <bgColor rgb="FFE6E6E6"/>
        </patternFill>
      </fill>
    </dxf>
    <dxf>
      <font>
        <color theme="2" tint="-0.89996032593768116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 tint="0.14996795556505021"/>
        </patternFill>
      </fill>
    </dxf>
    <dxf>
      <border>
        <left/>
        <right/>
        <bottom/>
        <vertical/>
        <horizontal/>
      </border>
    </dxf>
    <dxf>
      <border>
        <bottom/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rgb="FFE6E6E6"/>
        </patternFill>
      </fill>
    </dxf>
    <dxf>
      <font>
        <color theme="2" tint="-0.89996032593768116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 tint="0.14996795556505021"/>
        </patternFill>
      </fill>
    </dxf>
  </dxfs>
  <tableStyles count="1" defaultTableStyle="TableStyleMedium2" defaultPivotStyle="PivotStyleLight16">
    <tableStyle name="Invisible" pivot="0" table="0" count="0" xr9:uid="{8D3A9169-6242-4890-9D9E-60AB58457661}"/>
  </tableStyles>
  <colors>
    <mruColors>
      <color rgb="FF312F2F"/>
      <color rgb="FF575555"/>
      <color rgb="FF595757"/>
      <color rgb="FFFFF9E7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D908D2-C47E-4BEF-A72B-5CDCA5DE27F4}" name="TJoursFeries" displayName="TJoursFeries" ref="A1:BI63" totalsRowShown="0" headerRowDxfId="68" dataDxfId="67">
  <tableColumns count="61">
    <tableColumn id="1" xr3:uid="{42F0CC89-A7BC-45C4-8805-3C424BCE5C6F}" name="A afficher" dataDxfId="66">
      <calculatedColumnFormula>IF(IF(HLOOKUP(Region,TJoursFeries[[#All],[France]:[Allemagne TH]],ROWS($C$1:C2),FALSE)&lt;&gt;0,C2,"")&lt;&gt;"",IF(C2&lt;Jour1Cal,IF(AND((FetesSecondaires="Non"),(F2="p")),"",D2),IF(AND(FetesSecondaires="Non",F2="p"),"",C2)),"")</calculatedColumnFormula>
    </tableColumn>
    <tableColumn id="2" xr3:uid="{56CA7803-517B-4E33-A1AA-1280626F72F9}" name="Jour férié"/>
    <tableColumn id="4" xr3:uid="{95BDB520-AE83-4DA2-95C5-F3A64640B9F6}" name="Jour Férié Année N" dataDxfId="65"/>
    <tableColumn id="63" xr3:uid="{E6A5B204-D914-4BFE-BFDC-26CD4197C025}" name="Jour Férié Année N+1" dataDxfId="64"/>
    <tableColumn id="3" xr3:uid="{F03601A0-C55A-4063-B660-A4D429C3EE7B}" name="Commentaires" dataDxfId="63"/>
    <tableColumn id="65" xr3:uid="{B1BD2515-C2F0-40AB-8F47-E78142562656}" name="Fête primaire (f) ou dates particulières (p)" dataDxfId="62"/>
    <tableColumn id="6" xr3:uid="{281B5F3E-DBFC-4B0A-98EA-FC9E82662439}" name="France" dataDxfId="61"/>
    <tableColumn id="7" xr3:uid="{9B0F6DFE-45FC-42E9-B1DD-3099647AA116}" name="Alsace Moselle" dataDxfId="60"/>
    <tableColumn id="8" xr3:uid="{7832529A-FECD-484B-A289-CAD873ED2929}" name="Réunion" dataDxfId="59"/>
    <tableColumn id="9" xr3:uid="{D94F9365-C724-4013-90D7-FC277D863677}" name="Martinique" dataDxfId="58"/>
    <tableColumn id="10" xr3:uid="{2666618B-6DB2-4098-BFCF-E3B4FCA53CCA}" name="Guadeloupe" dataDxfId="57"/>
    <tableColumn id="11" xr3:uid="{243520A9-DCBF-453F-B808-FB733DBCCA97}" name="Guyane française" dataDxfId="56"/>
    <tableColumn id="12" xr3:uid="{1083D97F-5846-4F71-96EE-C0B44F591677}" name="Polynésie française" dataDxfId="55"/>
    <tableColumn id="13" xr3:uid="{FEA323EE-EE18-4001-A113-1FEFC6082C48}" name="Nouvelle-Calédonie" dataDxfId="54"/>
    <tableColumn id="14" xr3:uid="{8CF7FA10-9626-4C50-B869-A5C1A7CEA4FB}" name="Mayotte" dataDxfId="53"/>
    <tableColumn id="15" xr3:uid="{66DDF621-BC9A-4789-8CBE-E7C8ECF38CDB}" name="Saint-Pierre-et-Miquelon" dataDxfId="52"/>
    <tableColumn id="16" xr3:uid="{6AA86EF0-9B2C-44B2-A6D3-EA17A3B5429C}" name="Belgique" dataDxfId="51"/>
    <tableColumn id="17" xr3:uid="{9523DF73-4083-4702-AACB-89471D417A5E}" name="Luxembourg" dataDxfId="50"/>
    <tableColumn id="18" xr3:uid="{B65FDBBD-5E57-44D5-BFA2-620F03694278}" name="Québec" dataDxfId="49"/>
    <tableColumn id="20" xr3:uid="{026F7153-BEEC-41DC-B3FD-7F8F4B1F41C6}" name="Suisse AG" dataDxfId="48"/>
    <tableColumn id="21" xr3:uid="{94A934C9-9956-46F3-AB2C-DEC4A8551813}" name="Suisse AI" dataDxfId="47"/>
    <tableColumn id="22" xr3:uid="{2653AA71-E88B-4C05-8FDB-FF5695FE19C6}" name="Suisse AR" dataDxfId="46"/>
    <tableColumn id="23" xr3:uid="{3CB7EAE0-2AB5-4F8F-9B8E-599430A01479}" name="Suisse BE" dataDxfId="45"/>
    <tableColumn id="24" xr3:uid="{95D4F172-4858-49D6-915C-E9C2FDE9C3E2}" name="Suisse BL" dataDxfId="44"/>
    <tableColumn id="25" xr3:uid="{FD0B808C-9EB6-4FA6-9D50-9F04D8B80E6A}" name="Suisse BS" dataDxfId="43"/>
    <tableColumn id="26" xr3:uid="{9DA5D4C9-319C-4189-892F-A9AFB3B78A92}" name="Suisse FR" dataDxfId="42"/>
    <tableColumn id="27" xr3:uid="{D47077F9-6A03-4DC2-9A22-DD5FCD37D8E0}" name="Suisse GE" dataDxfId="41"/>
    <tableColumn id="28" xr3:uid="{3E11B25B-9599-4E2B-8C3A-EED76C270A79}" name="Suisse GL" dataDxfId="40"/>
    <tableColumn id="29" xr3:uid="{52C61BD6-6BF9-4976-B24D-937AE39AF8E9}" name="Suisse GR" dataDxfId="39"/>
    <tableColumn id="30" xr3:uid="{2C2B4C80-0605-4F63-9090-403C40DB8C5D}" name="Suisse JU" dataDxfId="38"/>
    <tableColumn id="31" xr3:uid="{396D1568-4061-414B-B40E-FD12E2ACF8AC}" name="Suisse LU" dataDxfId="37"/>
    <tableColumn id="32" xr3:uid="{4D84E4E6-019B-42A9-B819-24ADC6393346}" name="Suisse NE" dataDxfId="36"/>
    <tableColumn id="33" xr3:uid="{BAA78B3D-995E-45F7-9403-9E3841487163}" name="Suisse NW" dataDxfId="35"/>
    <tableColumn id="34" xr3:uid="{7542F53C-FA52-475F-8CEF-A618197B77FC}" name="Suisse OW" dataDxfId="34"/>
    <tableColumn id="35" xr3:uid="{432F7F5A-B763-48CD-900C-AB691FE9A490}" name="Suisse SG" dataDxfId="33"/>
    <tableColumn id="36" xr3:uid="{72341090-3D3F-47B2-9B04-A2C9DE13E9A4}" name="Suisse SH" dataDxfId="32"/>
    <tableColumn id="37" xr3:uid="{E0822F34-6852-4EC0-B6B3-3481E24FDC87}" name="Suisse SO" dataDxfId="31"/>
    <tableColumn id="38" xr3:uid="{F9D9BE05-CAA4-4825-A348-398CEF523AA1}" name="Suisse SZ" dataDxfId="30"/>
    <tableColumn id="39" xr3:uid="{137CF0BE-7704-4D89-9FC7-705F835D741B}" name="Suisse TG" dataDxfId="29"/>
    <tableColumn id="40" xr3:uid="{F7F47EB2-3B39-49CD-837D-AEA296E0372C}" name="Suisse TI" dataDxfId="28"/>
    <tableColumn id="41" xr3:uid="{6BBE351A-C212-45AB-A12E-8451E21B9028}" name="Suisse UR" dataDxfId="27"/>
    <tableColumn id="42" xr3:uid="{E8C193B2-6DE2-4CA1-81E2-37D7AB9721C5}" name="Suisse VD" dataDxfId="26"/>
    <tableColumn id="43" xr3:uid="{2E368851-F9C9-42DC-B8A2-5E67F401417A}" name="Suisse VS" dataDxfId="25"/>
    <tableColumn id="44" xr3:uid="{FA1196E0-DE0F-42F3-880F-AB3FAE93427E}" name="Suisse ZG" dataDxfId="24"/>
    <tableColumn id="45" xr3:uid="{3001BFCB-4913-485E-AE5D-4A2D79084EF0}" name="Suisse ZH" dataDxfId="23"/>
    <tableColumn id="46" xr3:uid="{BF3485AC-68F9-4BE1-A53C-09EFA178E7ED}" name="Allemagne BW" dataDxfId="22"/>
    <tableColumn id="47" xr3:uid="{A09F7030-CE4D-430A-84CD-D92D587DCC12}" name="Allemagne BY" dataDxfId="21"/>
    <tableColumn id="48" xr3:uid="{EB283EBF-0A61-4279-AA02-604D120AD671}" name="Allemagne BE" dataDxfId="20"/>
    <tableColumn id="49" xr3:uid="{975FAB7E-12A6-464B-A6A0-E6F9465538D2}" name="Allemagne BB" dataDxfId="19"/>
    <tableColumn id="50" xr3:uid="{BAB2FBC1-DFF9-4365-AB68-22DCEAA6D19B}" name="Allemagne HB" dataDxfId="18"/>
    <tableColumn id="51" xr3:uid="{223B9DE0-A9CD-4C17-A4E2-8054613549AF}" name="Allemagne HH" dataDxfId="17"/>
    <tableColumn id="52" xr3:uid="{F1EDD94E-6BC7-417B-9D05-4BA3A9787A23}" name="Allemagne HE" dataDxfId="16"/>
    <tableColumn id="53" xr3:uid="{1145F154-3A50-4187-AC7E-D8DF208A6FD9}" name="Allemagne MV" dataDxfId="15"/>
    <tableColumn id="54" xr3:uid="{7B209504-17BE-4047-A9AA-356C972C846F}" name="Allemagne NI" dataDxfId="14"/>
    <tableColumn id="55" xr3:uid="{33B48C9F-E5EE-4101-BEAF-77CB5EA41900}" name="Allemagne NW" dataDxfId="13"/>
    <tableColumn id="56" xr3:uid="{4862A89C-E513-4F08-AD41-40D428E732B1}" name="Allemagne RP" dataDxfId="12"/>
    <tableColumn id="57" xr3:uid="{56F830CB-09CF-4524-9F50-54771A1416E8}" name="Allemagne SL" dataDxfId="11"/>
    <tableColumn id="58" xr3:uid="{815B5E86-F222-4831-B344-990BAA03D0B0}" name="Allemagne SN" dataDxfId="10"/>
    <tableColumn id="59" xr3:uid="{0DA7C47F-CD20-4B6A-BC69-3EAC864F0A76}" name="Allemagne ST" dataDxfId="9"/>
    <tableColumn id="60" xr3:uid="{99F0715E-12E4-4A63-A41D-23F87804960E}" name="Allemagne SH" dataDxfId="8"/>
    <tableColumn id="61" xr3:uid="{A57EB5C9-76AF-4FFE-816A-DF10DC6A006D}" name="Allemagne TH" dataDxfId="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C19858-4CD2-47C2-B388-145A2AE20205}" name="TAnnee" displayName="TAnnee" ref="A1:A82" totalsRowShown="0" headerRowDxfId="6" dataDxfId="5">
  <autoFilter ref="A1:A82" xr:uid="{25B7ACA3-4DBA-41C0-A0E6-4A33EA131BA4}"/>
  <tableColumns count="1">
    <tableColumn id="1" xr3:uid="{10A43983-9A83-4679-AC8D-7491D23E4B82}" name="Année" dataDxfId="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EEC2EE-D891-4995-94B9-512FACD29F90}" name="TMois" displayName="TMois" ref="C1:D13" totalsRowShown="0" headerRowDxfId="3" dataDxfId="2">
  <autoFilter ref="C1:D13" xr:uid="{C0C4BB1C-6A55-4251-8E19-E45FF852CB46}"/>
  <tableColumns count="2">
    <tableColumn id="1" xr3:uid="{8771AB1F-7DB8-4C1B-A5F2-BE035B74BFB4}" name="Mois" dataDxfId="1"/>
    <tableColumn id="2" xr3:uid="{B42218AE-C53E-43B6-AEB8-0A1D3F8B99B2}" name="N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ler-avec-la-bureautique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B86F-970D-46A9-BFE4-65AD0A6A3A8F}">
  <sheetPr codeName="Feuil5">
    <pageSetUpPr fitToPage="1"/>
  </sheetPr>
  <dimension ref="A1:AN40"/>
  <sheetViews>
    <sheetView tabSelected="1" zoomScale="69" zoomScaleNormal="69" zoomScaleSheetLayoutView="33" zoomScalePageLayoutView="52" workbookViewId="0">
      <selection activeCell="V3" sqref="V3"/>
    </sheetView>
  </sheetViews>
  <sheetFormatPr baseColWidth="10" defaultColWidth="11" defaultRowHeight="14.25" x14ac:dyDescent="0.2"/>
  <cols>
    <col min="1" max="1" width="5.125" customWidth="1"/>
    <col min="2" max="3" width="3.125" style="2" customWidth="1"/>
    <col min="4" max="4" width="14.75" style="5" customWidth="1"/>
    <col min="5" max="6" width="3.125" customWidth="1"/>
    <col min="7" max="7" width="14.75" style="5" customWidth="1"/>
    <col min="8" max="9" width="3.125" customWidth="1"/>
    <col min="10" max="10" width="14.75" style="5" customWidth="1"/>
    <col min="11" max="12" width="3.125" customWidth="1"/>
    <col min="13" max="13" width="14.75" style="5" customWidth="1"/>
    <col min="14" max="15" width="3.125" customWidth="1"/>
    <col min="16" max="16" width="14.75" style="5" customWidth="1"/>
    <col min="17" max="18" width="3.125" customWidth="1"/>
    <col min="19" max="19" width="14.75" style="5" customWidth="1"/>
    <col min="20" max="21" width="3.125" customWidth="1"/>
    <col min="22" max="22" width="14.75" style="5" customWidth="1"/>
    <col min="23" max="24" width="3.125" customWidth="1"/>
    <col min="25" max="25" width="14.75" style="5" customWidth="1"/>
    <col min="26" max="27" width="3.125" customWidth="1"/>
    <col min="28" max="28" width="14.75" style="5" customWidth="1"/>
    <col min="29" max="30" width="3.125" customWidth="1"/>
    <col min="31" max="31" width="14.75" style="5" customWidth="1"/>
    <col min="32" max="33" width="3.125" customWidth="1"/>
    <col min="34" max="34" width="14.75" style="5" customWidth="1"/>
    <col min="35" max="36" width="3.125" customWidth="1"/>
    <col min="37" max="37" width="14.75" style="5" customWidth="1"/>
  </cols>
  <sheetData>
    <row r="1" spans="1:37" ht="23.1" customHeight="1" x14ac:dyDescent="0.2">
      <c r="A1" s="32" t="s">
        <v>135</v>
      </c>
      <c r="B1" s="32"/>
      <c r="C1" s="32"/>
      <c r="D1" s="23" t="s">
        <v>6</v>
      </c>
      <c r="G1" s="15" t="s">
        <v>0</v>
      </c>
      <c r="H1" s="31" t="s">
        <v>1</v>
      </c>
      <c r="I1" s="31"/>
      <c r="J1" s="31"/>
      <c r="M1" s="9" t="s">
        <v>2</v>
      </c>
      <c r="S1"/>
      <c r="U1" s="13" t="s">
        <v>144</v>
      </c>
      <c r="V1" s="13"/>
      <c r="W1" s="13"/>
      <c r="X1" s="13"/>
      <c r="Y1" s="12" t="s">
        <v>4</v>
      </c>
      <c r="AB1" s="13" t="s">
        <v>138</v>
      </c>
      <c r="AC1" s="13"/>
      <c r="AD1" s="13"/>
      <c r="AE1" s="12" t="s">
        <v>33</v>
      </c>
      <c r="AF1" s="5"/>
      <c r="AG1" s="13" t="s">
        <v>3</v>
      </c>
      <c r="AH1" s="13"/>
      <c r="AI1" s="13"/>
      <c r="AJ1" s="13"/>
      <c r="AK1" s="12" t="s">
        <v>33</v>
      </c>
    </row>
    <row r="2" spans="1:37" ht="23.1" customHeight="1" x14ac:dyDescent="0.2">
      <c r="M2" s="9"/>
      <c r="S2"/>
      <c r="Z2" s="5"/>
      <c r="AA2" s="5"/>
      <c r="AC2" s="5"/>
      <c r="AD2" s="5"/>
      <c r="AF2" s="5"/>
      <c r="AG2" s="5"/>
      <c r="AI2" s="5"/>
      <c r="AJ2" s="5"/>
    </row>
    <row r="3" spans="1:37" ht="30" customHeight="1" x14ac:dyDescent="0.2">
      <c r="Q3" s="5"/>
      <c r="R3" s="14"/>
      <c r="S3" s="26" t="s">
        <v>5</v>
      </c>
      <c r="T3" s="11"/>
      <c r="U3" s="11"/>
      <c r="V3" s="24">
        <v>2022</v>
      </c>
      <c r="W3" s="11"/>
      <c r="X3" s="16" t="str">
        <f>IF(Y3&lt;&gt;"","/","")</f>
        <v/>
      </c>
      <c r="Y3" s="29" t="str">
        <f>IF(YEAR(AI6)&gt;Annee,Annee+1,"")</f>
        <v/>
      </c>
    </row>
    <row r="4" spans="1:37" ht="30" customHeight="1" x14ac:dyDescent="0.2"/>
    <row r="5" spans="1:37" s="3" customFormat="1" ht="30" customHeight="1" x14ac:dyDescent="0.2">
      <c r="B5" s="30" t="str">
        <f>INDEX(TMois[],MATCH(MONTH(Calendrier!B6),TMois[[N°]:[N°]],0),1)</f>
        <v>Janvier</v>
      </c>
      <c r="C5" s="30"/>
      <c r="D5" s="30"/>
      <c r="E5" s="30" t="str">
        <f>INDEX(TMois[],MATCH(MONTH(Calendrier!E6),TMois[[N°]:[N°]],0),1)</f>
        <v>Février</v>
      </c>
      <c r="F5" s="30"/>
      <c r="G5" s="30"/>
      <c r="H5" s="30" t="str">
        <f>INDEX(TMois[],MATCH(MONTH(Calendrier!H6),TMois[[N°]:[N°]],0),1)</f>
        <v>Mars</v>
      </c>
      <c r="I5" s="30"/>
      <c r="J5" s="30"/>
      <c r="K5" s="30" t="str">
        <f>INDEX(TMois[],MATCH(MONTH(Calendrier!K6),TMois[[N°]:[N°]],0),1)</f>
        <v>Avril</v>
      </c>
      <c r="L5" s="30"/>
      <c r="M5" s="30"/>
      <c r="N5" s="30" t="str">
        <f>INDEX(TMois[],MATCH(MONTH(Calendrier!N6),TMois[[N°]:[N°]],0),1)</f>
        <v>Mai</v>
      </c>
      <c r="O5" s="30"/>
      <c r="P5" s="30"/>
      <c r="Q5" s="30" t="str">
        <f>INDEX(TMois[],MATCH(MONTH(Calendrier!Q6),TMois[[N°]:[N°]],0),1)</f>
        <v>Juin</v>
      </c>
      <c r="R5" s="30"/>
      <c r="S5" s="30"/>
      <c r="T5" s="30" t="str">
        <f>INDEX(TMois[],MATCH(MONTH(Calendrier!T6),TMois[[N°]:[N°]],0),1)</f>
        <v>Juillet</v>
      </c>
      <c r="U5" s="30"/>
      <c r="V5" s="30"/>
      <c r="W5" s="30" t="str">
        <f>INDEX(TMois[],MATCH(MONTH(Calendrier!W6),TMois[[N°]:[N°]],0),1)</f>
        <v>Août</v>
      </c>
      <c r="X5" s="30"/>
      <c r="Y5" s="30"/>
      <c r="Z5" s="30" t="str">
        <f>INDEX(TMois[],MATCH(MONTH(Calendrier!Z6),TMois[[N°]:[N°]],0),1)</f>
        <v>Septembre</v>
      </c>
      <c r="AA5" s="30"/>
      <c r="AB5" s="30"/>
      <c r="AC5" s="30" t="str">
        <f>INDEX(TMois[],MATCH(MONTH(Calendrier!AC6),TMois[[N°]:[N°]],0),1)</f>
        <v>Octobre</v>
      </c>
      <c r="AD5" s="30"/>
      <c r="AE5" s="30"/>
      <c r="AF5" s="30" t="str">
        <f>INDEX(TMois[],MATCH(MONTH(Calendrier!AF6),TMois[[N°]:[N°]],0),1)</f>
        <v>Novembre</v>
      </c>
      <c r="AG5" s="30"/>
      <c r="AH5" s="30"/>
      <c r="AI5" s="30" t="str">
        <f>INDEX(TMois[],MATCH(MONTH(Calendrier!AI6),TMois[[N°]:[N°]],0),1)</f>
        <v>Décembre</v>
      </c>
      <c r="AJ5" s="30"/>
      <c r="AK5" s="30"/>
    </row>
    <row r="6" spans="1:37" s="4" customFormat="1" ht="30" customHeight="1" x14ac:dyDescent="0.2">
      <c r="B6" s="6">
        <f>DATEVALUE("1 "&amp;D1&amp;" "&amp;Calendrier!Annee)</f>
        <v>44562</v>
      </c>
      <c r="C6" s="7" t="str">
        <f>UPPER(LEFT(TEXT(B6,"jjjj"),1))</f>
        <v>S</v>
      </c>
      <c r="D6" s="10" t="str">
        <f>IF(B6&lt;&gt;"",IFERROR(INDEX(TJoursFeries[Jour férié],MATCH(B6,TJoursFeries[A afficher],0)),IF(AfficherNoSemaine="Oui",IF(UPPER(LEFT(TEXT(B6+1,"jjjj"),1))="J",TEXT(_xlfn.ISOWEEKNUM(B6),"00"),""),"")),"")</f>
        <v>Jour de l'an</v>
      </c>
      <c r="E6" s="6">
        <f>EDATE(B6,1)</f>
        <v>44593</v>
      </c>
      <c r="F6" s="7" t="str">
        <f>UPPER(LEFT(TEXT(E6,"jjjj"),1))</f>
        <v>M</v>
      </c>
      <c r="G6" s="10" t="str">
        <f>IF(E6&lt;&gt;"",IFERROR(INDEX(TJoursFeries[Jour férié],MATCH(E6,TJoursFeries[A afficher],0)),IF(AfficherNoSemaine="Oui",IF(UPPER(LEFT(TEXT(E6+1,"jjjj"),1))="J",TEXT(_xlfn.ISOWEEKNUM(E6),"00"),""),"")),"")</f>
        <v/>
      </c>
      <c r="H6" s="6">
        <f t="shared" ref="H6" si="0">EDATE(E6,1)</f>
        <v>44621</v>
      </c>
      <c r="I6" s="7" t="str">
        <f t="shared" ref="I6:R21" si="1">UPPER(LEFT(TEXT(H6,"jjjj"),1))</f>
        <v>M</v>
      </c>
      <c r="J6" s="10" t="str">
        <f>IF(H6&lt;&gt;"",IFERROR(INDEX(TJoursFeries[Jour férié],MATCH(H6,TJoursFeries[A afficher],0)),IF(AfficherNoSemaine="Oui",IF(UPPER(LEFT(TEXT(H6+1,"jjjj"),1))="J",TEXT(_xlfn.ISOWEEKNUM(H6),"00"),""),"")),"")</f>
        <v/>
      </c>
      <c r="K6" s="6">
        <f t="shared" ref="K6" si="2">EDATE(H6,1)</f>
        <v>44652</v>
      </c>
      <c r="L6" s="7" t="str">
        <f t="shared" ref="L6" si="3">UPPER(LEFT(TEXT(K6,"jjjj"),1))</f>
        <v>V</v>
      </c>
      <c r="M6" s="10" t="str">
        <f>IF(K6&lt;&gt;"",IFERROR(INDEX(TJoursFeries[Jour férié],MATCH(K6,TJoursFeries[A afficher],0)),IF(AfficherNoSemaine="Oui",IF(UPPER(LEFT(TEXT(K6+1,"jjjj"),1))="J",TEXT(_xlfn.ISOWEEKNUM(K6),"00"),""),"")),"")</f>
        <v/>
      </c>
      <c r="N6" s="6">
        <f t="shared" ref="N6" si="4">EDATE(K6,1)</f>
        <v>44682</v>
      </c>
      <c r="O6" s="7" t="str">
        <f t="shared" ref="O6" si="5">UPPER(LEFT(TEXT(N6,"jjjj"),1))</f>
        <v>D</v>
      </c>
      <c r="P6" s="10" t="str">
        <f>IF(N6&lt;&gt;"",IFERROR(INDEX(TJoursFeries[Jour férié],MATCH(N6,TJoursFeries[A afficher],0)),IF(AfficherNoSemaine="Oui",IF(UPPER(LEFT(TEXT(N6+1,"jjjj"),1))="J",TEXT(_xlfn.ISOWEEKNUM(N6),"00"),""),"")),"")</f>
        <v>Fête du Travail</v>
      </c>
      <c r="Q6" s="6">
        <f t="shared" ref="Q6" si="6">EDATE(N6,1)</f>
        <v>44713</v>
      </c>
      <c r="R6" s="7" t="str">
        <f t="shared" ref="R6" si="7">UPPER(LEFT(TEXT(Q6,"jjjj"),1))</f>
        <v>M</v>
      </c>
      <c r="S6" s="10" t="str">
        <f>IF(Q6&lt;&gt;"",IFERROR(INDEX(TJoursFeries[Jour férié],MATCH(Q6,TJoursFeries[A afficher],0)),IF(AfficherNoSemaine="Oui",IF(UPPER(LEFT(TEXT(Q6+1,"jjjj"),1))="J",TEXT(_xlfn.ISOWEEKNUM(Q6),"00"),""),"")),"")</f>
        <v>22</v>
      </c>
      <c r="T6" s="6">
        <f t="shared" ref="T6" si="8">EDATE(Q6,1)</f>
        <v>44743</v>
      </c>
      <c r="U6" s="7" t="str">
        <f t="shared" ref="U6:U36" si="9">UPPER(LEFT(TEXT(T6,"jjjj"),1))</f>
        <v>V</v>
      </c>
      <c r="V6" s="10" t="str">
        <f>IF(T6&lt;&gt;"",IFERROR(INDEX(TJoursFeries[Jour férié],MATCH(T6,TJoursFeries[A afficher],0)),IF(AfficherNoSemaine="Oui",IF(UPPER(LEFT(TEXT(T6+1,"jjjj"),1))="J",TEXT(_xlfn.ISOWEEKNUM(T6),"00"),""),"")),"")</f>
        <v/>
      </c>
      <c r="W6" s="6">
        <f t="shared" ref="W6" si="10">EDATE(T6,1)</f>
        <v>44774</v>
      </c>
      <c r="X6" s="7" t="str">
        <f t="shared" ref="X6:X36" si="11">UPPER(LEFT(TEXT(W6,"jjjj"),1))</f>
        <v>L</v>
      </c>
      <c r="Y6" s="10" t="str">
        <f>IF(W6&lt;&gt;"",IFERROR(INDEX(TJoursFeries[Jour férié],MATCH(W6,TJoursFeries[A afficher],0)),IF(AfficherNoSemaine="Oui",IF(UPPER(LEFT(TEXT(W6+1,"jjjj"),1))="J",TEXT(_xlfn.ISOWEEKNUM(W6),"00"),""),"")),"")</f>
        <v/>
      </c>
      <c r="Z6" s="6">
        <f t="shared" ref="Z6" si="12">EDATE(W6,1)</f>
        <v>44805</v>
      </c>
      <c r="AA6" s="7" t="str">
        <f t="shared" ref="AA6:AA36" si="13">UPPER(LEFT(TEXT(Z6,"jjjj"),1))</f>
        <v>J</v>
      </c>
      <c r="AB6" s="10" t="str">
        <f>IF(Z6&lt;&gt;"",IFERROR(INDEX(TJoursFeries[Jour férié],MATCH(Z6,TJoursFeries[A afficher],0)),IF(AfficherNoSemaine="Oui",IF(UPPER(LEFT(TEXT(Z6+1,"jjjj"),1))="J",TEXT(_xlfn.ISOWEEKNUM(Z6),"00"),""),"")),"")</f>
        <v/>
      </c>
      <c r="AC6" s="6">
        <f t="shared" ref="AC6" si="14">EDATE(Z6,1)</f>
        <v>44835</v>
      </c>
      <c r="AD6" s="7" t="str">
        <f t="shared" ref="AD6:AD36" si="15">UPPER(LEFT(TEXT(AC6,"jjjj"),1))</f>
        <v>S</v>
      </c>
      <c r="AE6" s="10" t="str">
        <f>IF(AC6&lt;&gt;"",IFERROR(INDEX(TJoursFeries[Jour férié],MATCH(AC6,TJoursFeries[A afficher],0)),IF(AfficherNoSemaine="Oui",IF(UPPER(LEFT(TEXT(AC6+1,"jjjj"),1))="J",TEXT(_xlfn.ISOWEEKNUM(AC6),"00"),""),"")),"")</f>
        <v/>
      </c>
      <c r="AF6" s="6">
        <f t="shared" ref="AF6" si="16">EDATE(AC6,1)</f>
        <v>44866</v>
      </c>
      <c r="AG6" s="7" t="str">
        <f t="shared" ref="AG6:AG36" si="17">UPPER(LEFT(TEXT(AF6,"jjjj"),1))</f>
        <v>M</v>
      </c>
      <c r="AH6" s="10" t="str">
        <f>IF(AF6&lt;&gt;"",IFERROR(INDEX(TJoursFeries[Jour férié],MATCH(AF6,TJoursFeries[A afficher],0)),IF(AfficherNoSemaine="Oui",IF(UPPER(LEFT(TEXT(AF6+1,"jjjj"),1))="J",TEXT(_xlfn.ISOWEEKNUM(AF6),"00"),""),"")),"")</f>
        <v>Toussaint</v>
      </c>
      <c r="AI6" s="6">
        <f t="shared" ref="AI6" si="18">EDATE(AF6,1)</f>
        <v>44896</v>
      </c>
      <c r="AJ6" s="7" t="str">
        <f t="shared" ref="AJ6:AJ36" si="19">UPPER(LEFT(TEXT(AI6,"jjjj"),1))</f>
        <v>J</v>
      </c>
      <c r="AK6" s="10" t="str">
        <f>IF(AI6&lt;&gt;"",IFERROR(INDEX(TJoursFeries[Jour férié],MATCH(AI6,TJoursFeries[A afficher],0)),IF(AfficherNoSemaine="Oui",IF(UPPER(LEFT(TEXT(AI6+1,"jjjj"),1))="J",TEXT(_xlfn.ISOWEEKNUM(AI6),"00"),""),"")),"")</f>
        <v/>
      </c>
    </row>
    <row r="7" spans="1:37" s="4" customFormat="1" ht="30" customHeight="1" x14ac:dyDescent="0.2">
      <c r="B7" s="6">
        <f>IF(B6="","",IF(MONTH(B6+1)&lt;&gt;MONTH(B6),"",B6+1))</f>
        <v>44563</v>
      </c>
      <c r="C7" s="7" t="str">
        <f t="shared" ref="C7:C36" si="20">UPPER(LEFT(TEXT(B7,"jjjj"),1))</f>
        <v>D</v>
      </c>
      <c r="D7" s="10" t="str">
        <f>IF(B7&lt;&gt;"",IFERROR(INDEX(TJoursFeries[Jour férié],MATCH(B7,TJoursFeries[A afficher],0)),IF(AfficherNoSemaine="Oui",IF(UPPER(LEFT(TEXT(B7+1,"jjjj"),1))="J",TEXT(_xlfn.ISOWEEKNUM(B7),"00"),""),"")),"")</f>
        <v/>
      </c>
      <c r="E7" s="6">
        <f>IF(E6="","",IF(MONTH(E6+1)&lt;&gt;MONTH(E6),"",E6+1))</f>
        <v>44594</v>
      </c>
      <c r="F7" s="7" t="str">
        <f t="shared" ref="F7:F36" si="21">UPPER(LEFT(TEXT(E7,"jjjj"),1))</f>
        <v>M</v>
      </c>
      <c r="G7" s="10" t="str">
        <f>IF(E7&lt;&gt;"",IFERROR(INDEX(TJoursFeries[Jour férié],MATCH(E7,TJoursFeries[A afficher],0)),IF(AfficherNoSemaine="Oui",IF(UPPER(LEFT(TEXT(E7+1,"jjjj"),1))="J",TEXT(_xlfn.ISOWEEKNUM(E7),"00"),""),"")),"")</f>
        <v>05</v>
      </c>
      <c r="H7" s="6">
        <f t="shared" ref="H7:H36" si="22">IF(H6="","",IF(MONTH(H6+1)&lt;&gt;MONTH(H6),"",H6+1))</f>
        <v>44622</v>
      </c>
      <c r="I7" s="7" t="str">
        <f t="shared" si="1"/>
        <v>M</v>
      </c>
      <c r="J7" s="10" t="str">
        <f>IF(H7&lt;&gt;"",IFERROR(INDEX(TJoursFeries[Jour férié],MATCH(H7,TJoursFeries[A afficher],0)),IF(AfficherNoSemaine="Oui",IF(UPPER(LEFT(TEXT(H7+1,"jjjj"),1))="J",TEXT(_xlfn.ISOWEEKNUM(H7),"00"),""),"")),"")</f>
        <v>09</v>
      </c>
      <c r="K7" s="6">
        <f t="shared" ref="K7:K36" si="23">IF(K6="","",IF(MONTH(K6+1)&lt;&gt;MONTH(K6),"",K6+1))</f>
        <v>44653</v>
      </c>
      <c r="L7" s="7" t="str">
        <f t="shared" si="1"/>
        <v>S</v>
      </c>
      <c r="M7" s="10" t="str">
        <f>IF(K7&lt;&gt;"",IFERROR(INDEX(TJoursFeries[Jour férié],MATCH(K7,TJoursFeries[A afficher],0)),IF(AfficherNoSemaine="Oui",IF(UPPER(LEFT(TEXT(K7+1,"jjjj"),1))="J",TEXT(_xlfn.ISOWEEKNUM(K7),"00"),""),"")),"")</f>
        <v/>
      </c>
      <c r="N7" s="6">
        <f t="shared" ref="N7:N36" si="24">IF(N6="","",IF(MONTH(N6+1)&lt;&gt;MONTH(N6),"",N6+1))</f>
        <v>44683</v>
      </c>
      <c r="O7" s="7" t="str">
        <f t="shared" si="1"/>
        <v>L</v>
      </c>
      <c r="P7" s="10" t="str">
        <f>IF(N7&lt;&gt;"",IFERROR(INDEX(TJoursFeries[Jour férié],MATCH(N7,TJoursFeries[A afficher],0)),IF(AfficherNoSemaine="Oui",IF(UPPER(LEFT(TEXT(N7+1,"jjjj"),1))="J",TEXT(_xlfn.ISOWEEKNUM(N7),"00"),""),"")),"")</f>
        <v/>
      </c>
      <c r="Q7" s="6">
        <f t="shared" ref="Q7:Q36" si="25">IF(Q6="","",IF(MONTH(Q6+1)&lt;&gt;MONTH(Q6),"",Q6+1))</f>
        <v>44714</v>
      </c>
      <c r="R7" s="7" t="str">
        <f t="shared" si="1"/>
        <v>J</v>
      </c>
      <c r="S7" s="10" t="str">
        <f>IF(Q7&lt;&gt;"",IFERROR(INDEX(TJoursFeries[Jour férié],MATCH(Q7,TJoursFeries[A afficher],0)),IF(AfficherNoSemaine="Oui",IF(UPPER(LEFT(TEXT(Q7+1,"jjjj"),1))="J",TEXT(_xlfn.ISOWEEKNUM(Q7),"00"),""),"")),"")</f>
        <v/>
      </c>
      <c r="T7" s="6">
        <f t="shared" ref="T7:T36" si="26">IF(T6="","",IF(MONTH(T6+1)&lt;&gt;MONTH(T6),"",T6+1))</f>
        <v>44744</v>
      </c>
      <c r="U7" s="7" t="str">
        <f t="shared" si="9"/>
        <v>S</v>
      </c>
      <c r="V7" s="10" t="str">
        <f>IF(T7&lt;&gt;"",IFERROR(INDEX(TJoursFeries[Jour férié],MATCH(T7,TJoursFeries[A afficher],0)),IF(AfficherNoSemaine="Oui",IF(UPPER(LEFT(TEXT(T7+1,"jjjj"),1))="J",TEXT(_xlfn.ISOWEEKNUM(T7),"00"),""),"")),"")</f>
        <v/>
      </c>
      <c r="W7" s="6">
        <f t="shared" ref="W7:W36" si="27">IF(W6="","",IF(MONTH(W6+1)&lt;&gt;MONTH(W6),"",W6+1))</f>
        <v>44775</v>
      </c>
      <c r="X7" s="7" t="str">
        <f t="shared" si="11"/>
        <v>M</v>
      </c>
      <c r="Y7" s="10" t="str">
        <f>IF(W7&lt;&gt;"",IFERROR(INDEX(TJoursFeries[Jour férié],MATCH(W7,TJoursFeries[A afficher],0)),IF(AfficherNoSemaine="Oui",IF(UPPER(LEFT(TEXT(W7+1,"jjjj"),1))="J",TEXT(_xlfn.ISOWEEKNUM(W7),"00"),""),"")),"")</f>
        <v/>
      </c>
      <c r="Z7" s="6">
        <f t="shared" ref="Z7:Z36" si="28">IF(Z6="","",IF(MONTH(Z6+1)&lt;&gt;MONTH(Z6),"",Z6+1))</f>
        <v>44806</v>
      </c>
      <c r="AA7" s="7" t="str">
        <f t="shared" si="13"/>
        <v>V</v>
      </c>
      <c r="AB7" s="10" t="str">
        <f>IF(Z7&lt;&gt;"",IFERROR(INDEX(TJoursFeries[Jour férié],MATCH(Z7,TJoursFeries[A afficher],0)),IF(AfficherNoSemaine="Oui",IF(UPPER(LEFT(TEXT(Z7+1,"jjjj"),1))="J",TEXT(_xlfn.ISOWEEKNUM(Z7),"00"),""),"")),"")</f>
        <v/>
      </c>
      <c r="AC7" s="6">
        <f t="shared" ref="AC7:AC36" si="29">IF(AC6="","",IF(MONTH(AC6+1)&lt;&gt;MONTH(AC6),"",AC6+1))</f>
        <v>44836</v>
      </c>
      <c r="AD7" s="7" t="str">
        <f t="shared" si="15"/>
        <v>D</v>
      </c>
      <c r="AE7" s="10" t="str">
        <f>IF(AC7&lt;&gt;"",IFERROR(INDEX(TJoursFeries[Jour férié],MATCH(AC7,TJoursFeries[A afficher],0)),IF(AfficherNoSemaine="Oui",IF(UPPER(LEFT(TEXT(AC7+1,"jjjj"),1))="J",TEXT(_xlfn.ISOWEEKNUM(AC7),"00"),""),"")),"")</f>
        <v/>
      </c>
      <c r="AF7" s="6">
        <f t="shared" ref="AF7:AF36" si="30">IF(AF6="","",IF(MONTH(AF6+1)&lt;&gt;MONTH(AF6),"",AF6+1))</f>
        <v>44867</v>
      </c>
      <c r="AG7" s="7" t="str">
        <f t="shared" si="17"/>
        <v>M</v>
      </c>
      <c r="AH7" s="10" t="str">
        <f>IF(AF7&lt;&gt;"",IFERROR(INDEX(TJoursFeries[Jour férié],MATCH(AF7,TJoursFeries[A afficher],0)),IF(AfficherNoSemaine="Oui",IF(UPPER(LEFT(TEXT(AF7+1,"jjjj"),1))="J",TEXT(_xlfn.ISOWEEKNUM(AF7),"00"),""),"")),"")</f>
        <v>44</v>
      </c>
      <c r="AI7" s="6">
        <f t="shared" ref="AI7:AI36" si="31">IF(AI6="","",IF(MONTH(AI6+1)&lt;&gt;MONTH(AI6),"",AI6+1))</f>
        <v>44897</v>
      </c>
      <c r="AJ7" s="7" t="str">
        <f t="shared" si="19"/>
        <v>V</v>
      </c>
      <c r="AK7" s="10" t="str">
        <f>IF(AI7&lt;&gt;"",IFERROR(INDEX(TJoursFeries[Jour férié],MATCH(AI7,TJoursFeries[A afficher],0)),IF(AfficherNoSemaine="Oui",IF(UPPER(LEFT(TEXT(AI7+1,"jjjj"),1))="J",TEXT(_xlfn.ISOWEEKNUM(AI7),"00"),""),"")),"")</f>
        <v/>
      </c>
    </row>
    <row r="8" spans="1:37" s="4" customFormat="1" ht="30" customHeight="1" x14ac:dyDescent="0.2">
      <c r="B8" s="6">
        <f t="shared" ref="B8:B36" si="32">IF(B7="","",IF(MONTH(B7+1)&lt;&gt;MONTH(B7),"",B7+1))</f>
        <v>44564</v>
      </c>
      <c r="C8" s="7" t="str">
        <f t="shared" si="20"/>
        <v>L</v>
      </c>
      <c r="D8" s="10" t="str">
        <f>IF(B8&lt;&gt;"",IFERROR(INDEX(TJoursFeries[Jour férié],MATCH(B8,TJoursFeries[A afficher],0)),IF(AfficherNoSemaine="Oui",IF(UPPER(LEFT(TEXT(B8+1,"jjjj"),1))="J",TEXT(_xlfn.ISOWEEKNUM(B8),"00"),""),"")),"")</f>
        <v/>
      </c>
      <c r="E8" s="6">
        <f t="shared" ref="E8:E36" si="33">IF(E7="","",IF(MONTH(E7+1)&lt;&gt;MONTH(E7),"",E7+1))</f>
        <v>44595</v>
      </c>
      <c r="F8" s="7" t="str">
        <f t="shared" si="21"/>
        <v>J</v>
      </c>
      <c r="G8" s="10" t="str">
        <f>IF(E8&lt;&gt;"",IFERROR(INDEX(TJoursFeries[Jour férié],MATCH(E8,TJoursFeries[A afficher],0)),IF(AfficherNoSemaine="Oui",IF(UPPER(LEFT(TEXT(E8+1,"jjjj"),1))="J",TEXT(_xlfn.ISOWEEKNUM(E8),"00"),""),"")),"")</f>
        <v/>
      </c>
      <c r="H8" s="6">
        <f t="shared" si="22"/>
        <v>44623</v>
      </c>
      <c r="I8" s="7" t="str">
        <f t="shared" si="1"/>
        <v>J</v>
      </c>
      <c r="J8" s="10" t="str">
        <f>IF(H8&lt;&gt;"",IFERROR(INDEX(TJoursFeries[Jour férié],MATCH(H8,TJoursFeries[A afficher],0)),IF(AfficherNoSemaine="Oui",IF(UPPER(LEFT(TEXT(H8+1,"jjjj"),1))="J",TEXT(_xlfn.ISOWEEKNUM(H8),"00"),""),"")),"")</f>
        <v/>
      </c>
      <c r="K8" s="6">
        <f t="shared" si="23"/>
        <v>44654</v>
      </c>
      <c r="L8" s="7" t="str">
        <f t="shared" si="1"/>
        <v>D</v>
      </c>
      <c r="M8" s="10" t="str">
        <f>IF(K8&lt;&gt;"",IFERROR(INDEX(TJoursFeries[Jour férié],MATCH(K8,TJoursFeries[A afficher],0)),IF(AfficherNoSemaine="Oui",IF(UPPER(LEFT(TEXT(K8+1,"jjjj"),1))="J",TEXT(_xlfn.ISOWEEKNUM(K8),"00"),""),"")),"")</f>
        <v/>
      </c>
      <c r="N8" s="6">
        <f t="shared" si="24"/>
        <v>44684</v>
      </c>
      <c r="O8" s="7" t="str">
        <f t="shared" si="1"/>
        <v>M</v>
      </c>
      <c r="P8" s="10" t="str">
        <f>IF(N8&lt;&gt;"",IFERROR(INDEX(TJoursFeries[Jour férié],MATCH(N8,TJoursFeries[A afficher],0)),IF(AfficherNoSemaine="Oui",IF(UPPER(LEFT(TEXT(N8+1,"jjjj"),1))="J",TEXT(_xlfn.ISOWEEKNUM(N8),"00"),""),"")),"")</f>
        <v/>
      </c>
      <c r="Q8" s="6">
        <f t="shared" si="25"/>
        <v>44715</v>
      </c>
      <c r="R8" s="7" t="str">
        <f t="shared" si="1"/>
        <v>V</v>
      </c>
      <c r="S8" s="10" t="str">
        <f>IF(Q8&lt;&gt;"",IFERROR(INDEX(TJoursFeries[Jour férié],MATCH(Q8,TJoursFeries[A afficher],0)),IF(AfficherNoSemaine="Oui",IF(UPPER(LEFT(TEXT(Q8+1,"jjjj"),1))="J",TEXT(_xlfn.ISOWEEKNUM(Q8),"00"),""),"")),"")</f>
        <v/>
      </c>
      <c r="T8" s="6">
        <f t="shared" si="26"/>
        <v>44745</v>
      </c>
      <c r="U8" s="7" t="str">
        <f t="shared" si="9"/>
        <v>D</v>
      </c>
      <c r="V8" s="10" t="str">
        <f>IF(T8&lt;&gt;"",IFERROR(INDEX(TJoursFeries[Jour férié],MATCH(T8,TJoursFeries[A afficher],0)),IF(AfficherNoSemaine="Oui",IF(UPPER(LEFT(TEXT(T8+1,"jjjj"),1))="J",TEXT(_xlfn.ISOWEEKNUM(T8),"00"),""),"")),"")</f>
        <v/>
      </c>
      <c r="W8" s="6">
        <f t="shared" si="27"/>
        <v>44776</v>
      </c>
      <c r="X8" s="7" t="str">
        <f t="shared" si="11"/>
        <v>M</v>
      </c>
      <c r="Y8" s="10" t="str">
        <f>IF(W8&lt;&gt;"",IFERROR(INDEX(TJoursFeries[Jour férié],MATCH(W8,TJoursFeries[A afficher],0)),IF(AfficherNoSemaine="Oui",IF(UPPER(LEFT(TEXT(W8+1,"jjjj"),1))="J",TEXT(_xlfn.ISOWEEKNUM(W8),"00"),""),"")),"")</f>
        <v>31</v>
      </c>
      <c r="Z8" s="6">
        <f t="shared" si="28"/>
        <v>44807</v>
      </c>
      <c r="AA8" s="7" t="str">
        <f t="shared" si="13"/>
        <v>S</v>
      </c>
      <c r="AB8" s="10" t="str">
        <f>IF(Z8&lt;&gt;"",IFERROR(INDEX(TJoursFeries[Jour férié],MATCH(Z8,TJoursFeries[A afficher],0)),IF(AfficherNoSemaine="Oui",IF(UPPER(LEFT(TEXT(Z8+1,"jjjj"),1))="J",TEXT(_xlfn.ISOWEEKNUM(Z8),"00"),""),"")),"")</f>
        <v/>
      </c>
      <c r="AC8" s="6">
        <f t="shared" si="29"/>
        <v>44837</v>
      </c>
      <c r="AD8" s="7" t="str">
        <f t="shared" si="15"/>
        <v>L</v>
      </c>
      <c r="AE8" s="10" t="str">
        <f>IF(AC8&lt;&gt;"",IFERROR(INDEX(TJoursFeries[Jour férié],MATCH(AC8,TJoursFeries[A afficher],0)),IF(AfficherNoSemaine="Oui",IF(UPPER(LEFT(TEXT(AC8+1,"jjjj"),1))="J",TEXT(_xlfn.ISOWEEKNUM(AC8),"00"),""),"")),"")</f>
        <v/>
      </c>
      <c r="AF8" s="6">
        <f t="shared" si="30"/>
        <v>44868</v>
      </c>
      <c r="AG8" s="7" t="str">
        <f t="shared" si="17"/>
        <v>J</v>
      </c>
      <c r="AH8" s="10" t="str">
        <f>IF(AF8&lt;&gt;"",IFERROR(INDEX(TJoursFeries[Jour férié],MATCH(AF8,TJoursFeries[A afficher],0)),IF(AfficherNoSemaine="Oui",IF(UPPER(LEFT(TEXT(AF8+1,"jjjj"),1))="J",TEXT(_xlfn.ISOWEEKNUM(AF8),"00"),""),"")),"")</f>
        <v/>
      </c>
      <c r="AI8" s="6">
        <f t="shared" si="31"/>
        <v>44898</v>
      </c>
      <c r="AJ8" s="7" t="str">
        <f t="shared" si="19"/>
        <v>S</v>
      </c>
      <c r="AK8" s="10" t="str">
        <f>IF(AI8&lt;&gt;"",IFERROR(INDEX(TJoursFeries[Jour férié],MATCH(AI8,TJoursFeries[A afficher],0)),IF(AfficherNoSemaine="Oui",IF(UPPER(LEFT(TEXT(AI8+1,"jjjj"),1))="J",TEXT(_xlfn.ISOWEEKNUM(AI8),"00"),""),"")),"")</f>
        <v/>
      </c>
    </row>
    <row r="9" spans="1:37" s="4" customFormat="1" ht="30" customHeight="1" x14ac:dyDescent="0.2">
      <c r="B9" s="6">
        <f t="shared" si="32"/>
        <v>44565</v>
      </c>
      <c r="C9" s="7" t="str">
        <f t="shared" si="20"/>
        <v>M</v>
      </c>
      <c r="D9" s="10" t="str">
        <f>IF(B9&lt;&gt;"",IFERROR(INDEX(TJoursFeries[Jour férié],MATCH(B9,TJoursFeries[A afficher],0)),IF(AfficherNoSemaine="Oui",IF(UPPER(LEFT(TEXT(B9+1,"jjjj"),1))="J",TEXT(_xlfn.ISOWEEKNUM(B9),"00"),""),"")),"")</f>
        <v/>
      </c>
      <c r="E9" s="6">
        <f t="shared" si="33"/>
        <v>44596</v>
      </c>
      <c r="F9" s="7" t="str">
        <f t="shared" si="21"/>
        <v>V</v>
      </c>
      <c r="G9" s="10" t="str">
        <f>IF(E9&lt;&gt;"",IFERROR(INDEX(TJoursFeries[Jour férié],MATCH(E9,TJoursFeries[A afficher],0)),IF(AfficherNoSemaine="Oui",IF(UPPER(LEFT(TEXT(E9+1,"jjjj"),1))="J",TEXT(_xlfn.ISOWEEKNUM(E9),"00"),""),"")),"")</f>
        <v/>
      </c>
      <c r="H9" s="6">
        <f t="shared" si="22"/>
        <v>44624</v>
      </c>
      <c r="I9" s="7" t="str">
        <f t="shared" si="1"/>
        <v>V</v>
      </c>
      <c r="J9" s="10" t="str">
        <f>IF(H9&lt;&gt;"",IFERROR(INDEX(TJoursFeries[Jour férié],MATCH(H9,TJoursFeries[A afficher],0)),IF(AfficherNoSemaine="Oui",IF(UPPER(LEFT(TEXT(H9+1,"jjjj"),1))="J",TEXT(_xlfn.ISOWEEKNUM(H9),"00"),""),"")),"")</f>
        <v/>
      </c>
      <c r="K9" s="6">
        <f t="shared" si="23"/>
        <v>44655</v>
      </c>
      <c r="L9" s="7" t="str">
        <f t="shared" si="1"/>
        <v>L</v>
      </c>
      <c r="M9" s="10" t="str">
        <f>IF(K9&lt;&gt;"",IFERROR(INDEX(TJoursFeries[Jour férié],MATCH(K9,TJoursFeries[A afficher],0)),IF(AfficherNoSemaine="Oui",IF(UPPER(LEFT(TEXT(K9+1,"jjjj"),1))="J",TEXT(_xlfn.ISOWEEKNUM(K9),"00"),""),"")),"")</f>
        <v/>
      </c>
      <c r="N9" s="6">
        <f t="shared" si="24"/>
        <v>44685</v>
      </c>
      <c r="O9" s="7" t="str">
        <f t="shared" si="1"/>
        <v>M</v>
      </c>
      <c r="P9" s="10" t="str">
        <f>IF(N9&lt;&gt;"",IFERROR(INDEX(TJoursFeries[Jour férié],MATCH(N9,TJoursFeries[A afficher],0)),IF(AfficherNoSemaine="Oui",IF(UPPER(LEFT(TEXT(N9+1,"jjjj"),1))="J",TEXT(_xlfn.ISOWEEKNUM(N9),"00"),""),"")),"")</f>
        <v>18</v>
      </c>
      <c r="Q9" s="6">
        <f t="shared" si="25"/>
        <v>44716</v>
      </c>
      <c r="R9" s="7" t="str">
        <f t="shared" si="1"/>
        <v>S</v>
      </c>
      <c r="S9" s="10" t="str">
        <f>IF(Q9&lt;&gt;"",IFERROR(INDEX(TJoursFeries[Jour férié],MATCH(Q9,TJoursFeries[A afficher],0)),IF(AfficherNoSemaine="Oui",IF(UPPER(LEFT(TEXT(Q9+1,"jjjj"),1))="J",TEXT(_xlfn.ISOWEEKNUM(Q9),"00"),""),"")),"")</f>
        <v/>
      </c>
      <c r="T9" s="6">
        <f t="shared" si="26"/>
        <v>44746</v>
      </c>
      <c r="U9" s="7" t="str">
        <f t="shared" si="9"/>
        <v>L</v>
      </c>
      <c r="V9" s="10" t="str">
        <f>IF(T9&lt;&gt;"",IFERROR(INDEX(TJoursFeries[Jour férié],MATCH(T9,TJoursFeries[A afficher],0)),IF(AfficherNoSemaine="Oui",IF(UPPER(LEFT(TEXT(T9+1,"jjjj"),1))="J",TEXT(_xlfn.ISOWEEKNUM(T9),"00"),""),"")),"")</f>
        <v/>
      </c>
      <c r="W9" s="6">
        <f t="shared" si="27"/>
        <v>44777</v>
      </c>
      <c r="X9" s="7" t="str">
        <f t="shared" si="11"/>
        <v>J</v>
      </c>
      <c r="Y9" s="10" t="str">
        <f>IF(W9&lt;&gt;"",IFERROR(INDEX(TJoursFeries[Jour férié],MATCH(W9,TJoursFeries[A afficher],0)),IF(AfficherNoSemaine="Oui",IF(UPPER(LEFT(TEXT(W9+1,"jjjj"),1))="J",TEXT(_xlfn.ISOWEEKNUM(W9),"00"),""),"")),"")</f>
        <v/>
      </c>
      <c r="Z9" s="6">
        <f t="shared" si="28"/>
        <v>44808</v>
      </c>
      <c r="AA9" s="7" t="str">
        <f t="shared" si="13"/>
        <v>D</v>
      </c>
      <c r="AB9" s="10" t="str">
        <f>IF(Z9&lt;&gt;"",IFERROR(INDEX(TJoursFeries[Jour férié],MATCH(Z9,TJoursFeries[A afficher],0)),IF(AfficherNoSemaine="Oui",IF(UPPER(LEFT(TEXT(Z9+1,"jjjj"),1))="J",TEXT(_xlfn.ISOWEEKNUM(Z9),"00"),""),"")),"")</f>
        <v/>
      </c>
      <c r="AC9" s="6">
        <f t="shared" si="29"/>
        <v>44838</v>
      </c>
      <c r="AD9" s="7" t="str">
        <f t="shared" si="15"/>
        <v>M</v>
      </c>
      <c r="AE9" s="10" t="str">
        <f>IF(AC9&lt;&gt;"",IFERROR(INDEX(TJoursFeries[Jour férié],MATCH(AC9,TJoursFeries[A afficher],0)),IF(AfficherNoSemaine="Oui",IF(UPPER(LEFT(TEXT(AC9+1,"jjjj"),1))="J",TEXT(_xlfn.ISOWEEKNUM(AC9),"00"),""),"")),"")</f>
        <v/>
      </c>
      <c r="AF9" s="6">
        <f t="shared" si="30"/>
        <v>44869</v>
      </c>
      <c r="AG9" s="7" t="str">
        <f t="shared" si="17"/>
        <v>V</v>
      </c>
      <c r="AH9" s="10" t="str">
        <f>IF(AF9&lt;&gt;"",IFERROR(INDEX(TJoursFeries[Jour férié],MATCH(AF9,TJoursFeries[A afficher],0)),IF(AfficherNoSemaine="Oui",IF(UPPER(LEFT(TEXT(AF9+1,"jjjj"),1))="J",TEXT(_xlfn.ISOWEEKNUM(AF9),"00"),""),"")),"")</f>
        <v/>
      </c>
      <c r="AI9" s="6">
        <f t="shared" si="31"/>
        <v>44899</v>
      </c>
      <c r="AJ9" s="7" t="str">
        <f t="shared" si="19"/>
        <v>D</v>
      </c>
      <c r="AK9" s="10" t="str">
        <f>IF(AI9&lt;&gt;"",IFERROR(INDEX(TJoursFeries[Jour férié],MATCH(AI9,TJoursFeries[A afficher],0)),IF(AfficherNoSemaine="Oui",IF(UPPER(LEFT(TEXT(AI9+1,"jjjj"),1))="J",TEXT(_xlfn.ISOWEEKNUM(AI9),"00"),""),"")),"")</f>
        <v/>
      </c>
    </row>
    <row r="10" spans="1:37" s="4" customFormat="1" ht="30" customHeight="1" x14ac:dyDescent="0.2">
      <c r="B10" s="6">
        <f t="shared" si="32"/>
        <v>44566</v>
      </c>
      <c r="C10" s="7" t="str">
        <f t="shared" si="20"/>
        <v>M</v>
      </c>
      <c r="D10" s="10" t="str">
        <f>IF(B10&lt;&gt;"",IFERROR(INDEX(TJoursFeries[Jour férié],MATCH(B10,TJoursFeries[A afficher],0)),IF(AfficherNoSemaine="Oui",IF(UPPER(LEFT(TEXT(B10+1,"jjjj"),1))="J",TEXT(_xlfn.ISOWEEKNUM(B10),"00"),""),"")),"")</f>
        <v>01</v>
      </c>
      <c r="E10" s="6">
        <f t="shared" si="33"/>
        <v>44597</v>
      </c>
      <c r="F10" s="7" t="str">
        <f t="shared" si="21"/>
        <v>S</v>
      </c>
      <c r="G10" s="10" t="str">
        <f>IF(E10&lt;&gt;"",IFERROR(INDEX(TJoursFeries[Jour férié],MATCH(E10,TJoursFeries[A afficher],0)),IF(AfficherNoSemaine="Oui",IF(UPPER(LEFT(TEXT(E10+1,"jjjj"),1))="J",TEXT(_xlfn.ISOWEEKNUM(E10),"00"),""),"")),"")</f>
        <v/>
      </c>
      <c r="H10" s="6">
        <f t="shared" si="22"/>
        <v>44625</v>
      </c>
      <c r="I10" s="7" t="str">
        <f t="shared" si="1"/>
        <v>S</v>
      </c>
      <c r="J10" s="10" t="str">
        <f>IF(H10&lt;&gt;"",IFERROR(INDEX(TJoursFeries[Jour férié],MATCH(H10,TJoursFeries[A afficher],0)),IF(AfficherNoSemaine="Oui",IF(UPPER(LEFT(TEXT(H10+1,"jjjj"),1))="J",TEXT(_xlfn.ISOWEEKNUM(H10),"00"),""),"")),"")</f>
        <v/>
      </c>
      <c r="K10" s="6">
        <f t="shared" si="23"/>
        <v>44656</v>
      </c>
      <c r="L10" s="7" t="str">
        <f t="shared" si="1"/>
        <v>M</v>
      </c>
      <c r="M10" s="10" t="str">
        <f>IF(K10&lt;&gt;"",IFERROR(INDEX(TJoursFeries[Jour férié],MATCH(K10,TJoursFeries[A afficher],0)),IF(AfficherNoSemaine="Oui",IF(UPPER(LEFT(TEXT(K10+1,"jjjj"),1))="J",TEXT(_xlfn.ISOWEEKNUM(K10),"00"),""),"")),"")</f>
        <v/>
      </c>
      <c r="N10" s="6">
        <f t="shared" si="24"/>
        <v>44686</v>
      </c>
      <c r="O10" s="7" t="str">
        <f t="shared" si="1"/>
        <v>J</v>
      </c>
      <c r="P10" s="10" t="str">
        <f>IF(N10&lt;&gt;"",IFERROR(INDEX(TJoursFeries[Jour férié],MATCH(N10,TJoursFeries[A afficher],0)),IF(AfficherNoSemaine="Oui",IF(UPPER(LEFT(TEXT(N10+1,"jjjj"),1))="J",TEXT(_xlfn.ISOWEEKNUM(N10),"00"),""),"")),"")</f>
        <v/>
      </c>
      <c r="Q10" s="6">
        <f t="shared" si="25"/>
        <v>44717</v>
      </c>
      <c r="R10" s="7" t="str">
        <f t="shared" si="1"/>
        <v>D</v>
      </c>
      <c r="S10" s="10" t="str">
        <f>IF(Q10&lt;&gt;"",IFERROR(INDEX(TJoursFeries[Jour férié],MATCH(Q10,TJoursFeries[A afficher],0)),IF(AfficherNoSemaine="Oui",IF(UPPER(LEFT(TEXT(Q10+1,"jjjj"),1))="J",TEXT(_xlfn.ISOWEEKNUM(Q10),"00"),""),"")),"")</f>
        <v>Pentecôte</v>
      </c>
      <c r="T10" s="6">
        <f t="shared" si="26"/>
        <v>44747</v>
      </c>
      <c r="U10" s="7" t="str">
        <f t="shared" si="9"/>
        <v>M</v>
      </c>
      <c r="V10" s="10" t="str">
        <f>IF(T10&lt;&gt;"",IFERROR(INDEX(TJoursFeries[Jour férié],MATCH(T10,TJoursFeries[A afficher],0)),IF(AfficherNoSemaine="Oui",IF(UPPER(LEFT(TEXT(T10+1,"jjjj"),1))="J",TEXT(_xlfn.ISOWEEKNUM(T10),"00"),""),"")),"")</f>
        <v/>
      </c>
      <c r="W10" s="6">
        <f t="shared" si="27"/>
        <v>44778</v>
      </c>
      <c r="X10" s="7" t="str">
        <f t="shared" si="11"/>
        <v>V</v>
      </c>
      <c r="Y10" s="10" t="str">
        <f>IF(W10&lt;&gt;"",IFERROR(INDEX(TJoursFeries[Jour férié],MATCH(W10,TJoursFeries[A afficher],0)),IF(AfficherNoSemaine="Oui",IF(UPPER(LEFT(TEXT(W10+1,"jjjj"),1))="J",TEXT(_xlfn.ISOWEEKNUM(W10),"00"),""),"")),"")</f>
        <v/>
      </c>
      <c r="Z10" s="6">
        <f t="shared" si="28"/>
        <v>44809</v>
      </c>
      <c r="AA10" s="7" t="str">
        <f t="shared" si="13"/>
        <v>L</v>
      </c>
      <c r="AB10" s="10" t="str">
        <f>IF(Z10&lt;&gt;"",IFERROR(INDEX(TJoursFeries[Jour férié],MATCH(Z10,TJoursFeries[A afficher],0)),IF(AfficherNoSemaine="Oui",IF(UPPER(LEFT(TEXT(Z10+1,"jjjj"),1))="J",TEXT(_xlfn.ISOWEEKNUM(Z10),"00"),""),"")),"")</f>
        <v/>
      </c>
      <c r="AC10" s="6">
        <f t="shared" si="29"/>
        <v>44839</v>
      </c>
      <c r="AD10" s="7" t="str">
        <f t="shared" si="15"/>
        <v>M</v>
      </c>
      <c r="AE10" s="10" t="str">
        <f>IF(AC10&lt;&gt;"",IFERROR(INDEX(TJoursFeries[Jour férié],MATCH(AC10,TJoursFeries[A afficher],0)),IF(AfficherNoSemaine="Oui",IF(UPPER(LEFT(TEXT(AC10+1,"jjjj"),1))="J",TEXT(_xlfn.ISOWEEKNUM(AC10),"00"),""),"")),"")</f>
        <v>40</v>
      </c>
      <c r="AF10" s="6">
        <f t="shared" si="30"/>
        <v>44870</v>
      </c>
      <c r="AG10" s="7" t="str">
        <f t="shared" si="17"/>
        <v>S</v>
      </c>
      <c r="AH10" s="10" t="str">
        <f>IF(AF10&lt;&gt;"",IFERROR(INDEX(TJoursFeries[Jour férié],MATCH(AF10,TJoursFeries[A afficher],0)),IF(AfficherNoSemaine="Oui",IF(UPPER(LEFT(TEXT(AF10+1,"jjjj"),1))="J",TEXT(_xlfn.ISOWEEKNUM(AF10),"00"),""),"")),"")</f>
        <v/>
      </c>
      <c r="AI10" s="6">
        <f t="shared" si="31"/>
        <v>44900</v>
      </c>
      <c r="AJ10" s="7" t="str">
        <f t="shared" si="19"/>
        <v>L</v>
      </c>
      <c r="AK10" s="10" t="str">
        <f>IF(AI10&lt;&gt;"",IFERROR(INDEX(TJoursFeries[Jour férié],MATCH(AI10,TJoursFeries[A afficher],0)),IF(AfficherNoSemaine="Oui",IF(UPPER(LEFT(TEXT(AI10+1,"jjjj"),1))="J",TEXT(_xlfn.ISOWEEKNUM(AI10),"00"),""),"")),"")</f>
        <v/>
      </c>
    </row>
    <row r="11" spans="1:37" s="4" customFormat="1" ht="30" customHeight="1" x14ac:dyDescent="0.2">
      <c r="B11" s="6">
        <f t="shared" si="32"/>
        <v>44567</v>
      </c>
      <c r="C11" s="7" t="str">
        <f t="shared" si="20"/>
        <v>J</v>
      </c>
      <c r="D11" s="10" t="str">
        <f>IF(B11&lt;&gt;"",IFERROR(INDEX(TJoursFeries[Jour férié],MATCH(B11,TJoursFeries[A afficher],0)),IF(AfficherNoSemaine="Oui",IF(UPPER(LEFT(TEXT(B11+1,"jjjj"),1))="J",TEXT(_xlfn.ISOWEEKNUM(B11),"00"),""),"")),"")</f>
        <v/>
      </c>
      <c r="E11" s="6">
        <f t="shared" si="33"/>
        <v>44598</v>
      </c>
      <c r="F11" s="7" t="str">
        <f t="shared" si="21"/>
        <v>D</v>
      </c>
      <c r="G11" s="10" t="str">
        <f>IF(E11&lt;&gt;"",IFERROR(INDEX(TJoursFeries[Jour férié],MATCH(E11,TJoursFeries[A afficher],0)),IF(AfficherNoSemaine="Oui",IF(UPPER(LEFT(TEXT(E11+1,"jjjj"),1))="J",TEXT(_xlfn.ISOWEEKNUM(E11),"00"),""),"")),"")</f>
        <v/>
      </c>
      <c r="H11" s="6">
        <f t="shared" si="22"/>
        <v>44626</v>
      </c>
      <c r="I11" s="7" t="str">
        <f t="shared" si="1"/>
        <v>D</v>
      </c>
      <c r="J11" s="10" t="str">
        <f>IF(H11&lt;&gt;"",IFERROR(INDEX(TJoursFeries[Jour férié],MATCH(H11,TJoursFeries[A afficher],0)),IF(AfficherNoSemaine="Oui",IF(UPPER(LEFT(TEXT(H11+1,"jjjj"),1))="J",TEXT(_xlfn.ISOWEEKNUM(H11),"00"),""),"")),"")</f>
        <v/>
      </c>
      <c r="K11" s="6">
        <f t="shared" si="23"/>
        <v>44657</v>
      </c>
      <c r="L11" s="7" t="str">
        <f t="shared" si="1"/>
        <v>M</v>
      </c>
      <c r="M11" s="10" t="str">
        <f>IF(K11&lt;&gt;"",IFERROR(INDEX(TJoursFeries[Jour férié],MATCH(K11,TJoursFeries[A afficher],0)),IF(AfficherNoSemaine="Oui",IF(UPPER(LEFT(TEXT(K11+1,"jjjj"),1))="J",TEXT(_xlfn.ISOWEEKNUM(K11),"00"),""),"")),"")</f>
        <v>14</v>
      </c>
      <c r="N11" s="6">
        <f t="shared" si="24"/>
        <v>44687</v>
      </c>
      <c r="O11" s="7" t="str">
        <f t="shared" si="1"/>
        <v>V</v>
      </c>
      <c r="P11" s="10" t="str">
        <f>IF(N11&lt;&gt;"",IFERROR(INDEX(TJoursFeries[Jour férié],MATCH(N11,TJoursFeries[A afficher],0)),IF(AfficherNoSemaine="Oui",IF(UPPER(LEFT(TEXT(N11+1,"jjjj"),1))="J",TEXT(_xlfn.ISOWEEKNUM(N11),"00"),""),"")),"")</f>
        <v/>
      </c>
      <c r="Q11" s="6">
        <f t="shared" si="25"/>
        <v>44718</v>
      </c>
      <c r="R11" s="7" t="str">
        <f t="shared" si="1"/>
        <v>L</v>
      </c>
      <c r="S11" s="10" t="str">
        <f>IF(Q11&lt;&gt;"",IFERROR(INDEX(TJoursFeries[Jour férié],MATCH(Q11,TJoursFeries[A afficher],0)),IF(AfficherNoSemaine="Oui",IF(UPPER(LEFT(TEXT(Q11+1,"jjjj"),1))="J",TEXT(_xlfn.ISOWEEKNUM(Q11),"00"),""),"")),"")</f>
        <v>Lundi de Pentecôte</v>
      </c>
      <c r="T11" s="6">
        <f t="shared" si="26"/>
        <v>44748</v>
      </c>
      <c r="U11" s="7" t="str">
        <f t="shared" si="9"/>
        <v>M</v>
      </c>
      <c r="V11" s="10" t="str">
        <f>IF(T11&lt;&gt;"",IFERROR(INDEX(TJoursFeries[Jour férié],MATCH(T11,TJoursFeries[A afficher],0)),IF(AfficherNoSemaine="Oui",IF(UPPER(LEFT(TEXT(T11+1,"jjjj"),1))="J",TEXT(_xlfn.ISOWEEKNUM(T11),"00"),""),"")),"")</f>
        <v>27</v>
      </c>
      <c r="W11" s="6">
        <f t="shared" si="27"/>
        <v>44779</v>
      </c>
      <c r="X11" s="7" t="str">
        <f t="shared" si="11"/>
        <v>S</v>
      </c>
      <c r="Y11" s="10" t="str">
        <f>IF(W11&lt;&gt;"",IFERROR(INDEX(TJoursFeries[Jour férié],MATCH(W11,TJoursFeries[A afficher],0)),IF(AfficherNoSemaine="Oui",IF(UPPER(LEFT(TEXT(W11+1,"jjjj"),1))="J",TEXT(_xlfn.ISOWEEKNUM(W11),"00"),""),"")),"")</f>
        <v/>
      </c>
      <c r="Z11" s="6">
        <f t="shared" si="28"/>
        <v>44810</v>
      </c>
      <c r="AA11" s="7" t="str">
        <f t="shared" si="13"/>
        <v>M</v>
      </c>
      <c r="AB11" s="10" t="str">
        <f>IF(Z11&lt;&gt;"",IFERROR(INDEX(TJoursFeries[Jour férié],MATCH(Z11,TJoursFeries[A afficher],0)),IF(AfficherNoSemaine="Oui",IF(UPPER(LEFT(TEXT(Z11+1,"jjjj"),1))="J",TEXT(_xlfn.ISOWEEKNUM(Z11),"00"),""),"")),"")</f>
        <v/>
      </c>
      <c r="AC11" s="6">
        <f t="shared" si="29"/>
        <v>44840</v>
      </c>
      <c r="AD11" s="7" t="str">
        <f t="shared" si="15"/>
        <v>J</v>
      </c>
      <c r="AE11" s="10" t="str">
        <f>IF(AC11&lt;&gt;"",IFERROR(INDEX(TJoursFeries[Jour férié],MATCH(AC11,TJoursFeries[A afficher],0)),IF(AfficherNoSemaine="Oui",IF(UPPER(LEFT(TEXT(AC11+1,"jjjj"),1))="J",TEXT(_xlfn.ISOWEEKNUM(AC11),"00"),""),"")),"")</f>
        <v/>
      </c>
      <c r="AF11" s="6">
        <f t="shared" si="30"/>
        <v>44871</v>
      </c>
      <c r="AG11" s="7" t="str">
        <f t="shared" si="17"/>
        <v>D</v>
      </c>
      <c r="AH11" s="10" t="str">
        <f>IF(AF11&lt;&gt;"",IFERROR(INDEX(TJoursFeries[Jour férié],MATCH(AF11,TJoursFeries[A afficher],0)),IF(AfficherNoSemaine="Oui",IF(UPPER(LEFT(TEXT(AF11+1,"jjjj"),1))="J",TEXT(_xlfn.ISOWEEKNUM(AF11),"00"),""),"")),"")</f>
        <v/>
      </c>
      <c r="AI11" s="6">
        <f t="shared" si="31"/>
        <v>44901</v>
      </c>
      <c r="AJ11" s="7" t="str">
        <f t="shared" si="19"/>
        <v>M</v>
      </c>
      <c r="AK11" s="10" t="str">
        <f>IF(AI11&lt;&gt;"",IFERROR(INDEX(TJoursFeries[Jour férié],MATCH(AI11,TJoursFeries[A afficher],0)),IF(AfficherNoSemaine="Oui",IF(UPPER(LEFT(TEXT(AI11+1,"jjjj"),1))="J",TEXT(_xlfn.ISOWEEKNUM(AI11),"00"),""),"")),"")</f>
        <v/>
      </c>
    </row>
    <row r="12" spans="1:37" s="4" customFormat="1" ht="30" customHeight="1" x14ac:dyDescent="0.2">
      <c r="B12" s="6">
        <f t="shared" si="32"/>
        <v>44568</v>
      </c>
      <c r="C12" s="7" t="str">
        <f t="shared" si="20"/>
        <v>V</v>
      </c>
      <c r="D12" s="10" t="str">
        <f>IF(B12&lt;&gt;"",IFERROR(INDEX(TJoursFeries[Jour férié],MATCH(B12,TJoursFeries[A afficher],0)),IF(AfficherNoSemaine="Oui",IF(UPPER(LEFT(TEXT(B12+1,"jjjj"),1))="J",TEXT(_xlfn.ISOWEEKNUM(B12),"00"),""),"")),"")</f>
        <v/>
      </c>
      <c r="E12" s="6">
        <f t="shared" si="33"/>
        <v>44599</v>
      </c>
      <c r="F12" s="7" t="str">
        <f t="shared" si="21"/>
        <v>L</v>
      </c>
      <c r="G12" s="10" t="str">
        <f>IF(E12&lt;&gt;"",IFERROR(INDEX(TJoursFeries[Jour férié],MATCH(E12,TJoursFeries[A afficher],0)),IF(AfficherNoSemaine="Oui",IF(UPPER(LEFT(TEXT(E12+1,"jjjj"),1))="J",TEXT(_xlfn.ISOWEEKNUM(E12),"00"),""),"")),"")</f>
        <v/>
      </c>
      <c r="H12" s="6">
        <f t="shared" si="22"/>
        <v>44627</v>
      </c>
      <c r="I12" s="7" t="str">
        <f t="shared" si="1"/>
        <v>L</v>
      </c>
      <c r="J12" s="10" t="str">
        <f>IF(H12&lt;&gt;"",IFERROR(INDEX(TJoursFeries[Jour férié],MATCH(H12,TJoursFeries[A afficher],0)),IF(AfficherNoSemaine="Oui",IF(UPPER(LEFT(TEXT(H12+1,"jjjj"),1))="J",TEXT(_xlfn.ISOWEEKNUM(H12),"00"),""),"")),"")</f>
        <v/>
      </c>
      <c r="K12" s="6">
        <f t="shared" si="23"/>
        <v>44658</v>
      </c>
      <c r="L12" s="7" t="str">
        <f t="shared" si="1"/>
        <v>J</v>
      </c>
      <c r="M12" s="10" t="str">
        <f>IF(K12&lt;&gt;"",IFERROR(INDEX(TJoursFeries[Jour férié],MATCH(K12,TJoursFeries[A afficher],0)),IF(AfficherNoSemaine="Oui",IF(UPPER(LEFT(TEXT(K12+1,"jjjj"),1))="J",TEXT(_xlfn.ISOWEEKNUM(K12),"00"),""),"")),"")</f>
        <v/>
      </c>
      <c r="N12" s="6">
        <f t="shared" si="24"/>
        <v>44688</v>
      </c>
      <c r="O12" s="7" t="str">
        <f t="shared" si="1"/>
        <v>S</v>
      </c>
      <c r="P12" s="10" t="str">
        <f>IF(N12&lt;&gt;"",IFERROR(INDEX(TJoursFeries[Jour férié],MATCH(N12,TJoursFeries[A afficher],0)),IF(AfficherNoSemaine="Oui",IF(UPPER(LEFT(TEXT(N12+1,"jjjj"),1))="J",TEXT(_xlfn.ISOWEEKNUM(N12),"00"),""),"")),"")</f>
        <v/>
      </c>
      <c r="Q12" s="6">
        <f t="shared" si="25"/>
        <v>44719</v>
      </c>
      <c r="R12" s="7" t="str">
        <f t="shared" si="1"/>
        <v>M</v>
      </c>
      <c r="S12" s="10" t="str">
        <f>IF(Q12&lt;&gt;"",IFERROR(INDEX(TJoursFeries[Jour férié],MATCH(Q12,TJoursFeries[A afficher],0)),IF(AfficherNoSemaine="Oui",IF(UPPER(LEFT(TEXT(Q12+1,"jjjj"),1))="J",TEXT(_xlfn.ISOWEEKNUM(Q12),"00"),""),"")),"")</f>
        <v/>
      </c>
      <c r="T12" s="6">
        <f t="shared" si="26"/>
        <v>44749</v>
      </c>
      <c r="U12" s="7" t="str">
        <f t="shared" si="9"/>
        <v>J</v>
      </c>
      <c r="V12" s="10" t="str">
        <f>IF(T12&lt;&gt;"",IFERROR(INDEX(TJoursFeries[Jour férié],MATCH(T12,TJoursFeries[A afficher],0)),IF(AfficherNoSemaine="Oui",IF(UPPER(LEFT(TEXT(T12+1,"jjjj"),1))="J",TEXT(_xlfn.ISOWEEKNUM(T12),"00"),""),"")),"")</f>
        <v/>
      </c>
      <c r="W12" s="6">
        <f t="shared" si="27"/>
        <v>44780</v>
      </c>
      <c r="X12" s="7" t="str">
        <f t="shared" si="11"/>
        <v>D</v>
      </c>
      <c r="Y12" s="10" t="str">
        <f>IF(W12&lt;&gt;"",IFERROR(INDEX(TJoursFeries[Jour férié],MATCH(W12,TJoursFeries[A afficher],0)),IF(AfficherNoSemaine="Oui",IF(UPPER(LEFT(TEXT(W12+1,"jjjj"),1))="J",TEXT(_xlfn.ISOWEEKNUM(W12),"00"),""),"")),"")</f>
        <v/>
      </c>
      <c r="Z12" s="6">
        <f t="shared" si="28"/>
        <v>44811</v>
      </c>
      <c r="AA12" s="7" t="str">
        <f t="shared" si="13"/>
        <v>M</v>
      </c>
      <c r="AB12" s="10" t="str">
        <f>IF(Z12&lt;&gt;"",IFERROR(INDEX(TJoursFeries[Jour férié],MATCH(Z12,TJoursFeries[A afficher],0)),IF(AfficherNoSemaine="Oui",IF(UPPER(LEFT(TEXT(Z12+1,"jjjj"),1))="J",TEXT(_xlfn.ISOWEEKNUM(Z12),"00"),""),"")),"")</f>
        <v>36</v>
      </c>
      <c r="AC12" s="6">
        <f t="shared" si="29"/>
        <v>44841</v>
      </c>
      <c r="AD12" s="7" t="str">
        <f t="shared" si="15"/>
        <v>V</v>
      </c>
      <c r="AE12" s="10" t="str">
        <f>IF(AC12&lt;&gt;"",IFERROR(INDEX(TJoursFeries[Jour férié],MATCH(AC12,TJoursFeries[A afficher],0)),IF(AfficherNoSemaine="Oui",IF(UPPER(LEFT(TEXT(AC12+1,"jjjj"),1))="J",TEXT(_xlfn.ISOWEEKNUM(AC12),"00"),""),"")),"")</f>
        <v/>
      </c>
      <c r="AF12" s="6">
        <f t="shared" si="30"/>
        <v>44872</v>
      </c>
      <c r="AG12" s="7" t="str">
        <f t="shared" si="17"/>
        <v>L</v>
      </c>
      <c r="AH12" s="10" t="str">
        <f>IF(AF12&lt;&gt;"",IFERROR(INDEX(TJoursFeries[Jour férié],MATCH(AF12,TJoursFeries[A afficher],0)),IF(AfficherNoSemaine="Oui",IF(UPPER(LEFT(TEXT(AF12+1,"jjjj"),1))="J",TEXT(_xlfn.ISOWEEKNUM(AF12),"00"),""),"")),"")</f>
        <v/>
      </c>
      <c r="AI12" s="6">
        <f t="shared" si="31"/>
        <v>44902</v>
      </c>
      <c r="AJ12" s="7" t="str">
        <f t="shared" si="19"/>
        <v>M</v>
      </c>
      <c r="AK12" s="10" t="str">
        <f>IF(AI12&lt;&gt;"",IFERROR(INDEX(TJoursFeries[Jour férié],MATCH(AI12,TJoursFeries[A afficher],0)),IF(AfficherNoSemaine="Oui",IF(UPPER(LEFT(TEXT(AI12+1,"jjjj"),1))="J",TEXT(_xlfn.ISOWEEKNUM(AI12),"00"),""),"")),"")</f>
        <v>49</v>
      </c>
    </row>
    <row r="13" spans="1:37" s="4" customFormat="1" ht="30" customHeight="1" x14ac:dyDescent="0.2">
      <c r="B13" s="6">
        <f t="shared" si="32"/>
        <v>44569</v>
      </c>
      <c r="C13" s="7" t="str">
        <f t="shared" si="20"/>
        <v>S</v>
      </c>
      <c r="D13" s="10" t="str">
        <f>IF(B13&lt;&gt;"",IFERROR(INDEX(TJoursFeries[Jour férié],MATCH(B13,TJoursFeries[A afficher],0)),IF(AfficherNoSemaine="Oui",IF(UPPER(LEFT(TEXT(B13+1,"jjjj"),1))="J",TEXT(_xlfn.ISOWEEKNUM(B13),"00"),""),"")),"")</f>
        <v/>
      </c>
      <c r="E13" s="6">
        <f t="shared" si="33"/>
        <v>44600</v>
      </c>
      <c r="F13" s="7" t="str">
        <f t="shared" si="21"/>
        <v>M</v>
      </c>
      <c r="G13" s="10" t="str">
        <f>IF(E13&lt;&gt;"",IFERROR(INDEX(TJoursFeries[Jour férié],MATCH(E13,TJoursFeries[A afficher],0)),IF(AfficherNoSemaine="Oui",IF(UPPER(LEFT(TEXT(E13+1,"jjjj"),1))="J",TEXT(_xlfn.ISOWEEKNUM(E13),"00"),""),"")),"")</f>
        <v/>
      </c>
      <c r="H13" s="6">
        <f t="shared" si="22"/>
        <v>44628</v>
      </c>
      <c r="I13" s="7" t="str">
        <f t="shared" si="1"/>
        <v>M</v>
      </c>
      <c r="J13" s="10" t="str">
        <f>IF(H13&lt;&gt;"",IFERROR(INDEX(TJoursFeries[Jour férié],MATCH(H13,TJoursFeries[A afficher],0)),IF(AfficherNoSemaine="Oui",IF(UPPER(LEFT(TEXT(H13+1,"jjjj"),1))="J",TEXT(_xlfn.ISOWEEKNUM(H13),"00"),""),"")),"")</f>
        <v/>
      </c>
      <c r="K13" s="6">
        <f t="shared" si="23"/>
        <v>44659</v>
      </c>
      <c r="L13" s="7" t="str">
        <f t="shared" si="1"/>
        <v>V</v>
      </c>
      <c r="M13" s="10" t="str">
        <f>IF(K13&lt;&gt;"",IFERROR(INDEX(TJoursFeries[Jour férié],MATCH(K13,TJoursFeries[A afficher],0)),IF(AfficherNoSemaine="Oui",IF(UPPER(LEFT(TEXT(K13+1,"jjjj"),1))="J",TEXT(_xlfn.ISOWEEKNUM(K13),"00"),""),"")),"")</f>
        <v/>
      </c>
      <c r="N13" s="6">
        <f t="shared" si="24"/>
        <v>44689</v>
      </c>
      <c r="O13" s="7" t="str">
        <f t="shared" si="1"/>
        <v>D</v>
      </c>
      <c r="P13" s="10" t="str">
        <f>IF(N13&lt;&gt;"",IFERROR(INDEX(TJoursFeries[Jour férié],MATCH(N13,TJoursFeries[A afficher],0)),IF(AfficherNoSemaine="Oui",IF(UPPER(LEFT(TEXT(N13+1,"jjjj"),1))="J",TEXT(_xlfn.ISOWEEKNUM(N13),"00"),""),"")),"")</f>
        <v>Victoire 1945</v>
      </c>
      <c r="Q13" s="6">
        <f t="shared" si="25"/>
        <v>44720</v>
      </c>
      <c r="R13" s="7" t="str">
        <f t="shared" si="1"/>
        <v>M</v>
      </c>
      <c r="S13" s="10" t="str">
        <f>IF(Q13&lt;&gt;"",IFERROR(INDEX(TJoursFeries[Jour férié],MATCH(Q13,TJoursFeries[A afficher],0)),IF(AfficherNoSemaine="Oui",IF(UPPER(LEFT(TEXT(Q13+1,"jjjj"),1))="J",TEXT(_xlfn.ISOWEEKNUM(Q13),"00"),""),"")),"")</f>
        <v>23</v>
      </c>
      <c r="T13" s="6">
        <f t="shared" si="26"/>
        <v>44750</v>
      </c>
      <c r="U13" s="7" t="str">
        <f t="shared" si="9"/>
        <v>V</v>
      </c>
      <c r="V13" s="10" t="str">
        <f>IF(T13&lt;&gt;"",IFERROR(INDEX(TJoursFeries[Jour férié],MATCH(T13,TJoursFeries[A afficher],0)),IF(AfficherNoSemaine="Oui",IF(UPPER(LEFT(TEXT(T13+1,"jjjj"),1))="J",TEXT(_xlfn.ISOWEEKNUM(T13),"00"),""),"")),"")</f>
        <v/>
      </c>
      <c r="W13" s="6">
        <f t="shared" si="27"/>
        <v>44781</v>
      </c>
      <c r="X13" s="7" t="str">
        <f t="shared" si="11"/>
        <v>L</v>
      </c>
      <c r="Y13" s="10" t="str">
        <f>IF(W13&lt;&gt;"",IFERROR(INDEX(TJoursFeries[Jour férié],MATCH(W13,TJoursFeries[A afficher],0)),IF(AfficherNoSemaine="Oui",IF(UPPER(LEFT(TEXT(W13+1,"jjjj"),1))="J",TEXT(_xlfn.ISOWEEKNUM(W13),"00"),""),"")),"")</f>
        <v/>
      </c>
      <c r="Z13" s="6">
        <f t="shared" si="28"/>
        <v>44812</v>
      </c>
      <c r="AA13" s="7" t="str">
        <f t="shared" si="13"/>
        <v>J</v>
      </c>
      <c r="AB13" s="10" t="str">
        <f>IF(Z13&lt;&gt;"",IFERROR(INDEX(TJoursFeries[Jour férié],MATCH(Z13,TJoursFeries[A afficher],0)),IF(AfficherNoSemaine="Oui",IF(UPPER(LEFT(TEXT(Z13+1,"jjjj"),1))="J",TEXT(_xlfn.ISOWEEKNUM(Z13),"00"),""),"")),"")</f>
        <v/>
      </c>
      <c r="AC13" s="6">
        <f t="shared" si="29"/>
        <v>44842</v>
      </c>
      <c r="AD13" s="7" t="str">
        <f t="shared" si="15"/>
        <v>S</v>
      </c>
      <c r="AE13" s="10" t="str">
        <f>IF(AC13&lt;&gt;"",IFERROR(INDEX(TJoursFeries[Jour férié],MATCH(AC13,TJoursFeries[A afficher],0)),IF(AfficherNoSemaine="Oui",IF(UPPER(LEFT(TEXT(AC13+1,"jjjj"),1))="J",TEXT(_xlfn.ISOWEEKNUM(AC13),"00"),""),"")),"")</f>
        <v/>
      </c>
      <c r="AF13" s="6">
        <f t="shared" si="30"/>
        <v>44873</v>
      </c>
      <c r="AG13" s="7" t="str">
        <f t="shared" si="17"/>
        <v>M</v>
      </c>
      <c r="AH13" s="10" t="str">
        <f>IF(AF13&lt;&gt;"",IFERROR(INDEX(TJoursFeries[Jour férié],MATCH(AF13,TJoursFeries[A afficher],0)),IF(AfficherNoSemaine="Oui",IF(UPPER(LEFT(TEXT(AF13+1,"jjjj"),1))="J",TEXT(_xlfn.ISOWEEKNUM(AF13),"00"),""),"")),"")</f>
        <v/>
      </c>
      <c r="AI13" s="6">
        <f t="shared" si="31"/>
        <v>44903</v>
      </c>
      <c r="AJ13" s="7" t="str">
        <f t="shared" si="19"/>
        <v>J</v>
      </c>
      <c r="AK13" s="10" t="str">
        <f>IF(AI13&lt;&gt;"",IFERROR(INDEX(TJoursFeries[Jour férié],MATCH(AI13,TJoursFeries[A afficher],0)),IF(AfficherNoSemaine="Oui",IF(UPPER(LEFT(TEXT(AI13+1,"jjjj"),1))="J",TEXT(_xlfn.ISOWEEKNUM(AI13),"00"),""),"")),"")</f>
        <v/>
      </c>
    </row>
    <row r="14" spans="1:37" s="4" customFormat="1" ht="30" customHeight="1" x14ac:dyDescent="0.2">
      <c r="B14" s="6">
        <f t="shared" si="32"/>
        <v>44570</v>
      </c>
      <c r="C14" s="7" t="str">
        <f t="shared" si="20"/>
        <v>D</v>
      </c>
      <c r="D14" s="10" t="str">
        <f>IF(B14&lt;&gt;"",IFERROR(INDEX(TJoursFeries[Jour férié],MATCH(B14,TJoursFeries[A afficher],0)),IF(AfficherNoSemaine="Oui",IF(UPPER(LEFT(TEXT(B14+1,"jjjj"),1))="J",TEXT(_xlfn.ISOWEEKNUM(B14),"00"),""),"")),"")</f>
        <v/>
      </c>
      <c r="E14" s="6">
        <f t="shared" si="33"/>
        <v>44601</v>
      </c>
      <c r="F14" s="7" t="str">
        <f t="shared" si="21"/>
        <v>M</v>
      </c>
      <c r="G14" s="10" t="str">
        <f>IF(E14&lt;&gt;"",IFERROR(INDEX(TJoursFeries[Jour férié],MATCH(E14,TJoursFeries[A afficher],0)),IF(AfficherNoSemaine="Oui",IF(UPPER(LEFT(TEXT(E14+1,"jjjj"),1))="J",TEXT(_xlfn.ISOWEEKNUM(E14),"00"),""),"")),"")</f>
        <v>06</v>
      </c>
      <c r="H14" s="6">
        <f t="shared" si="22"/>
        <v>44629</v>
      </c>
      <c r="I14" s="7" t="str">
        <f t="shared" si="1"/>
        <v>M</v>
      </c>
      <c r="J14" s="10" t="str">
        <f>IF(H14&lt;&gt;"",IFERROR(INDEX(TJoursFeries[Jour férié],MATCH(H14,TJoursFeries[A afficher],0)),IF(AfficherNoSemaine="Oui",IF(UPPER(LEFT(TEXT(H14+1,"jjjj"),1))="J",TEXT(_xlfn.ISOWEEKNUM(H14),"00"),""),"")),"")</f>
        <v>10</v>
      </c>
      <c r="K14" s="6">
        <f t="shared" si="23"/>
        <v>44660</v>
      </c>
      <c r="L14" s="7" t="str">
        <f t="shared" si="1"/>
        <v>S</v>
      </c>
      <c r="M14" s="10" t="str">
        <f>IF(K14&lt;&gt;"",IFERROR(INDEX(TJoursFeries[Jour férié],MATCH(K14,TJoursFeries[A afficher],0)),IF(AfficherNoSemaine="Oui",IF(UPPER(LEFT(TEXT(K14+1,"jjjj"),1))="J",TEXT(_xlfn.ISOWEEKNUM(K14),"00"),""),"")),"")</f>
        <v/>
      </c>
      <c r="N14" s="6">
        <f t="shared" si="24"/>
        <v>44690</v>
      </c>
      <c r="O14" s="7" t="str">
        <f t="shared" si="1"/>
        <v>L</v>
      </c>
      <c r="P14" s="10" t="str">
        <f>IF(N14&lt;&gt;"",IFERROR(INDEX(TJoursFeries[Jour férié],MATCH(N14,TJoursFeries[A afficher],0)),IF(AfficherNoSemaine="Oui",IF(UPPER(LEFT(TEXT(N14+1,"jjjj"),1))="J",TEXT(_xlfn.ISOWEEKNUM(N14),"00"),""),"")),"")</f>
        <v/>
      </c>
      <c r="Q14" s="6">
        <f t="shared" si="25"/>
        <v>44721</v>
      </c>
      <c r="R14" s="7" t="str">
        <f t="shared" si="1"/>
        <v>J</v>
      </c>
      <c r="S14" s="10" t="str">
        <f>IF(Q14&lt;&gt;"",IFERROR(INDEX(TJoursFeries[Jour férié],MATCH(Q14,TJoursFeries[A afficher],0)),IF(AfficherNoSemaine="Oui",IF(UPPER(LEFT(TEXT(Q14+1,"jjjj"),1))="J",TEXT(_xlfn.ISOWEEKNUM(Q14),"00"),""),"")),"")</f>
        <v/>
      </c>
      <c r="T14" s="6">
        <f t="shared" si="26"/>
        <v>44751</v>
      </c>
      <c r="U14" s="7" t="str">
        <f t="shared" si="9"/>
        <v>S</v>
      </c>
      <c r="V14" s="10" t="str">
        <f>IF(T14&lt;&gt;"",IFERROR(INDEX(TJoursFeries[Jour férié],MATCH(T14,TJoursFeries[A afficher],0)),IF(AfficherNoSemaine="Oui",IF(UPPER(LEFT(TEXT(T14+1,"jjjj"),1))="J",TEXT(_xlfn.ISOWEEKNUM(T14),"00"),""),"")),"")</f>
        <v/>
      </c>
      <c r="W14" s="6">
        <f t="shared" si="27"/>
        <v>44782</v>
      </c>
      <c r="X14" s="7" t="str">
        <f t="shared" si="11"/>
        <v>M</v>
      </c>
      <c r="Y14" s="10" t="str">
        <f>IF(W14&lt;&gt;"",IFERROR(INDEX(TJoursFeries[Jour férié],MATCH(W14,TJoursFeries[A afficher],0)),IF(AfficherNoSemaine="Oui",IF(UPPER(LEFT(TEXT(W14+1,"jjjj"),1))="J",TEXT(_xlfn.ISOWEEKNUM(W14),"00"),""),"")),"")</f>
        <v/>
      </c>
      <c r="Z14" s="6">
        <f t="shared" si="28"/>
        <v>44813</v>
      </c>
      <c r="AA14" s="7" t="str">
        <f t="shared" si="13"/>
        <v>V</v>
      </c>
      <c r="AB14" s="10" t="str">
        <f>IF(Z14&lt;&gt;"",IFERROR(INDEX(TJoursFeries[Jour férié],MATCH(Z14,TJoursFeries[A afficher],0)),IF(AfficherNoSemaine="Oui",IF(UPPER(LEFT(TEXT(Z14+1,"jjjj"),1))="J",TEXT(_xlfn.ISOWEEKNUM(Z14),"00"),""),"")),"")</f>
        <v/>
      </c>
      <c r="AC14" s="6">
        <f t="shared" si="29"/>
        <v>44843</v>
      </c>
      <c r="AD14" s="7" t="str">
        <f t="shared" si="15"/>
        <v>D</v>
      </c>
      <c r="AE14" s="10" t="str">
        <f>IF(AC14&lt;&gt;"",IFERROR(INDEX(TJoursFeries[Jour férié],MATCH(AC14,TJoursFeries[A afficher],0)),IF(AfficherNoSemaine="Oui",IF(UPPER(LEFT(TEXT(AC14+1,"jjjj"),1))="J",TEXT(_xlfn.ISOWEEKNUM(AC14),"00"),""),"")),"")</f>
        <v/>
      </c>
      <c r="AF14" s="6">
        <f t="shared" si="30"/>
        <v>44874</v>
      </c>
      <c r="AG14" s="7" t="str">
        <f t="shared" si="17"/>
        <v>M</v>
      </c>
      <c r="AH14" s="10" t="str">
        <f>IF(AF14&lt;&gt;"",IFERROR(INDEX(TJoursFeries[Jour férié],MATCH(AF14,TJoursFeries[A afficher],0)),IF(AfficherNoSemaine="Oui",IF(UPPER(LEFT(TEXT(AF14+1,"jjjj"),1))="J",TEXT(_xlfn.ISOWEEKNUM(AF14),"00"),""),"")),"")</f>
        <v>45</v>
      </c>
      <c r="AI14" s="6">
        <f t="shared" si="31"/>
        <v>44904</v>
      </c>
      <c r="AJ14" s="7" t="str">
        <f t="shared" si="19"/>
        <v>V</v>
      </c>
      <c r="AK14" s="10" t="str">
        <f>IF(AI14&lt;&gt;"",IFERROR(INDEX(TJoursFeries[Jour férié],MATCH(AI14,TJoursFeries[A afficher],0)),IF(AfficherNoSemaine="Oui",IF(UPPER(LEFT(TEXT(AI14+1,"jjjj"),1))="J",TEXT(_xlfn.ISOWEEKNUM(AI14),"00"),""),"")),"")</f>
        <v/>
      </c>
    </row>
    <row r="15" spans="1:37" s="4" customFormat="1" ht="30" customHeight="1" x14ac:dyDescent="0.2">
      <c r="B15" s="6">
        <f t="shared" si="32"/>
        <v>44571</v>
      </c>
      <c r="C15" s="7" t="str">
        <f t="shared" si="20"/>
        <v>L</v>
      </c>
      <c r="D15" s="10" t="str">
        <f>IF(B15&lt;&gt;"",IFERROR(INDEX(TJoursFeries[Jour férié],MATCH(B15,TJoursFeries[A afficher],0)),IF(AfficherNoSemaine="Oui",IF(UPPER(LEFT(TEXT(B15+1,"jjjj"),1))="J",TEXT(_xlfn.ISOWEEKNUM(B15),"00"),""),"")),"")</f>
        <v/>
      </c>
      <c r="E15" s="6">
        <f t="shared" si="33"/>
        <v>44602</v>
      </c>
      <c r="F15" s="7" t="str">
        <f t="shared" si="21"/>
        <v>J</v>
      </c>
      <c r="G15" s="10" t="str">
        <f>IF(E15&lt;&gt;"",IFERROR(INDEX(TJoursFeries[Jour férié],MATCH(E15,TJoursFeries[A afficher],0)),IF(AfficherNoSemaine="Oui",IF(UPPER(LEFT(TEXT(E15+1,"jjjj"),1))="J",TEXT(_xlfn.ISOWEEKNUM(E15),"00"),""),"")),"")</f>
        <v/>
      </c>
      <c r="H15" s="6">
        <f t="shared" si="22"/>
        <v>44630</v>
      </c>
      <c r="I15" s="7" t="str">
        <f t="shared" si="1"/>
        <v>J</v>
      </c>
      <c r="J15" s="10" t="str">
        <f>IF(H15&lt;&gt;"",IFERROR(INDEX(TJoursFeries[Jour férié],MATCH(H15,TJoursFeries[A afficher],0)),IF(AfficherNoSemaine="Oui",IF(UPPER(LEFT(TEXT(H15+1,"jjjj"),1))="J",TEXT(_xlfn.ISOWEEKNUM(H15),"00"),""),"")),"")</f>
        <v/>
      </c>
      <c r="K15" s="6">
        <f t="shared" si="23"/>
        <v>44661</v>
      </c>
      <c r="L15" s="7" t="str">
        <f t="shared" si="1"/>
        <v>D</v>
      </c>
      <c r="M15" s="10" t="str">
        <f>IF(K15&lt;&gt;"",IFERROR(INDEX(TJoursFeries[Jour férié],MATCH(K15,TJoursFeries[A afficher],0)),IF(AfficherNoSemaine="Oui",IF(UPPER(LEFT(TEXT(K15+1,"jjjj"),1))="J",TEXT(_xlfn.ISOWEEKNUM(K15),"00"),""),"")),"")</f>
        <v/>
      </c>
      <c r="N15" s="6">
        <f t="shared" si="24"/>
        <v>44691</v>
      </c>
      <c r="O15" s="7" t="str">
        <f t="shared" si="1"/>
        <v>M</v>
      </c>
      <c r="P15" s="10" t="str">
        <f>IF(N15&lt;&gt;"",IFERROR(INDEX(TJoursFeries[Jour férié],MATCH(N15,TJoursFeries[A afficher],0)),IF(AfficherNoSemaine="Oui",IF(UPPER(LEFT(TEXT(N15+1,"jjjj"),1))="J",TEXT(_xlfn.ISOWEEKNUM(N15),"00"),""),"")),"")</f>
        <v/>
      </c>
      <c r="Q15" s="6">
        <f t="shared" si="25"/>
        <v>44722</v>
      </c>
      <c r="R15" s="7" t="str">
        <f t="shared" si="1"/>
        <v>V</v>
      </c>
      <c r="S15" s="10" t="str">
        <f>IF(Q15&lt;&gt;"",IFERROR(INDEX(TJoursFeries[Jour férié],MATCH(Q15,TJoursFeries[A afficher],0)),IF(AfficherNoSemaine="Oui",IF(UPPER(LEFT(TEXT(Q15+1,"jjjj"),1))="J",TEXT(_xlfn.ISOWEEKNUM(Q15),"00"),""),"")),"")</f>
        <v/>
      </c>
      <c r="T15" s="6">
        <f t="shared" si="26"/>
        <v>44752</v>
      </c>
      <c r="U15" s="7" t="str">
        <f t="shared" si="9"/>
        <v>D</v>
      </c>
      <c r="V15" s="10" t="str">
        <f>IF(T15&lt;&gt;"",IFERROR(INDEX(TJoursFeries[Jour férié],MATCH(T15,TJoursFeries[A afficher],0)),IF(AfficherNoSemaine="Oui",IF(UPPER(LEFT(TEXT(T15+1,"jjjj"),1))="J",TEXT(_xlfn.ISOWEEKNUM(T15),"00"),""),"")),"")</f>
        <v/>
      </c>
      <c r="W15" s="6">
        <f t="shared" si="27"/>
        <v>44783</v>
      </c>
      <c r="X15" s="7" t="str">
        <f t="shared" si="11"/>
        <v>M</v>
      </c>
      <c r="Y15" s="10" t="str">
        <f>IF(W15&lt;&gt;"",IFERROR(INDEX(TJoursFeries[Jour férié],MATCH(W15,TJoursFeries[A afficher],0)),IF(AfficherNoSemaine="Oui",IF(UPPER(LEFT(TEXT(W15+1,"jjjj"),1))="J",TEXT(_xlfn.ISOWEEKNUM(W15),"00"),""),"")),"")</f>
        <v>32</v>
      </c>
      <c r="Z15" s="6">
        <f t="shared" si="28"/>
        <v>44814</v>
      </c>
      <c r="AA15" s="7" t="str">
        <f t="shared" si="13"/>
        <v>S</v>
      </c>
      <c r="AB15" s="10" t="str">
        <f>IF(Z15&lt;&gt;"",IFERROR(INDEX(TJoursFeries[Jour férié],MATCH(Z15,TJoursFeries[A afficher],0)),IF(AfficherNoSemaine="Oui",IF(UPPER(LEFT(TEXT(Z15+1,"jjjj"),1))="J",TEXT(_xlfn.ISOWEEKNUM(Z15),"00"),""),"")),"")</f>
        <v/>
      </c>
      <c r="AC15" s="6">
        <f t="shared" si="29"/>
        <v>44844</v>
      </c>
      <c r="AD15" s="7" t="str">
        <f t="shared" si="15"/>
        <v>L</v>
      </c>
      <c r="AE15" s="10" t="str">
        <f>IF(AC15&lt;&gt;"",IFERROR(INDEX(TJoursFeries[Jour férié],MATCH(AC15,TJoursFeries[A afficher],0)),IF(AfficherNoSemaine="Oui",IF(UPPER(LEFT(TEXT(AC15+1,"jjjj"),1))="J",TEXT(_xlfn.ISOWEEKNUM(AC15),"00"),""),"")),"")</f>
        <v/>
      </c>
      <c r="AF15" s="6">
        <f t="shared" si="30"/>
        <v>44875</v>
      </c>
      <c r="AG15" s="7" t="str">
        <f t="shared" si="17"/>
        <v>J</v>
      </c>
      <c r="AH15" s="10" t="str">
        <f>IF(AF15&lt;&gt;"",IFERROR(INDEX(TJoursFeries[Jour férié],MATCH(AF15,TJoursFeries[A afficher],0)),IF(AfficherNoSemaine="Oui",IF(UPPER(LEFT(TEXT(AF15+1,"jjjj"),1))="J",TEXT(_xlfn.ISOWEEKNUM(AF15),"00"),""),"")),"")</f>
        <v/>
      </c>
      <c r="AI15" s="6">
        <f t="shared" si="31"/>
        <v>44905</v>
      </c>
      <c r="AJ15" s="7" t="str">
        <f t="shared" si="19"/>
        <v>S</v>
      </c>
      <c r="AK15" s="10" t="str">
        <f>IF(AI15&lt;&gt;"",IFERROR(INDEX(TJoursFeries[Jour férié],MATCH(AI15,TJoursFeries[A afficher],0)),IF(AfficherNoSemaine="Oui",IF(UPPER(LEFT(TEXT(AI15+1,"jjjj"),1))="J",TEXT(_xlfn.ISOWEEKNUM(AI15),"00"),""),"")),"")</f>
        <v/>
      </c>
    </row>
    <row r="16" spans="1:37" s="4" customFormat="1" ht="30" customHeight="1" x14ac:dyDescent="0.2">
      <c r="B16" s="6">
        <f t="shared" si="32"/>
        <v>44572</v>
      </c>
      <c r="C16" s="7" t="str">
        <f t="shared" si="20"/>
        <v>M</v>
      </c>
      <c r="D16" s="10" t="str">
        <f>IF(B16&lt;&gt;"",IFERROR(INDEX(TJoursFeries[Jour férié],MATCH(B16,TJoursFeries[A afficher],0)),IF(AfficherNoSemaine="Oui",IF(UPPER(LEFT(TEXT(B16+1,"jjjj"),1))="J",TEXT(_xlfn.ISOWEEKNUM(B16),"00"),""),"")),"")</f>
        <v/>
      </c>
      <c r="E16" s="6">
        <f t="shared" si="33"/>
        <v>44603</v>
      </c>
      <c r="F16" s="7" t="str">
        <f t="shared" si="21"/>
        <v>V</v>
      </c>
      <c r="G16" s="10" t="str">
        <f>IF(E16&lt;&gt;"",IFERROR(INDEX(TJoursFeries[Jour férié],MATCH(E16,TJoursFeries[A afficher],0)),IF(AfficherNoSemaine="Oui",IF(UPPER(LEFT(TEXT(E16+1,"jjjj"),1))="J",TEXT(_xlfn.ISOWEEKNUM(E16),"00"),""),"")),"")</f>
        <v/>
      </c>
      <c r="H16" s="6">
        <f t="shared" si="22"/>
        <v>44631</v>
      </c>
      <c r="I16" s="7" t="str">
        <f t="shared" si="1"/>
        <v>V</v>
      </c>
      <c r="J16" s="10" t="str">
        <f>IF(H16&lt;&gt;"",IFERROR(INDEX(TJoursFeries[Jour férié],MATCH(H16,TJoursFeries[A afficher],0)),IF(AfficherNoSemaine="Oui",IF(UPPER(LEFT(TEXT(H16+1,"jjjj"),1))="J",TEXT(_xlfn.ISOWEEKNUM(H16),"00"),""),"")),"")</f>
        <v/>
      </c>
      <c r="K16" s="6">
        <f t="shared" si="23"/>
        <v>44662</v>
      </c>
      <c r="L16" s="7" t="str">
        <f t="shared" si="1"/>
        <v>L</v>
      </c>
      <c r="M16" s="10" t="str">
        <f>IF(K16&lt;&gt;"",IFERROR(INDEX(TJoursFeries[Jour férié],MATCH(K16,TJoursFeries[A afficher],0)),IF(AfficherNoSemaine="Oui",IF(UPPER(LEFT(TEXT(K16+1,"jjjj"),1))="J",TEXT(_xlfn.ISOWEEKNUM(K16),"00"),""),"")),"")</f>
        <v/>
      </c>
      <c r="N16" s="6">
        <f t="shared" si="24"/>
        <v>44692</v>
      </c>
      <c r="O16" s="7" t="str">
        <f t="shared" si="1"/>
        <v>M</v>
      </c>
      <c r="P16" s="10" t="str">
        <f>IF(N16&lt;&gt;"",IFERROR(INDEX(TJoursFeries[Jour férié],MATCH(N16,TJoursFeries[A afficher],0)),IF(AfficherNoSemaine="Oui",IF(UPPER(LEFT(TEXT(N16+1,"jjjj"),1))="J",TEXT(_xlfn.ISOWEEKNUM(N16),"00"),""),"")),"")</f>
        <v>19</v>
      </c>
      <c r="Q16" s="6">
        <f t="shared" si="25"/>
        <v>44723</v>
      </c>
      <c r="R16" s="7" t="str">
        <f t="shared" si="1"/>
        <v>S</v>
      </c>
      <c r="S16" s="10" t="str">
        <f>IF(Q16&lt;&gt;"",IFERROR(INDEX(TJoursFeries[Jour férié],MATCH(Q16,TJoursFeries[A afficher],0)),IF(AfficherNoSemaine="Oui",IF(UPPER(LEFT(TEXT(Q16+1,"jjjj"),1))="J",TEXT(_xlfn.ISOWEEKNUM(Q16),"00"),""),"")),"")</f>
        <v/>
      </c>
      <c r="T16" s="6">
        <f t="shared" si="26"/>
        <v>44753</v>
      </c>
      <c r="U16" s="7" t="str">
        <f t="shared" si="9"/>
        <v>L</v>
      </c>
      <c r="V16" s="10" t="str">
        <f>IF(T16&lt;&gt;"",IFERROR(INDEX(TJoursFeries[Jour férié],MATCH(T16,TJoursFeries[A afficher],0)),IF(AfficherNoSemaine="Oui",IF(UPPER(LEFT(TEXT(T16+1,"jjjj"),1))="J",TEXT(_xlfn.ISOWEEKNUM(T16),"00"),""),"")),"")</f>
        <v/>
      </c>
      <c r="W16" s="6">
        <f t="shared" si="27"/>
        <v>44784</v>
      </c>
      <c r="X16" s="7" t="str">
        <f t="shared" si="11"/>
        <v>J</v>
      </c>
      <c r="Y16" s="10" t="str">
        <f>IF(W16&lt;&gt;"",IFERROR(INDEX(TJoursFeries[Jour férié],MATCH(W16,TJoursFeries[A afficher],0)),IF(AfficherNoSemaine="Oui",IF(UPPER(LEFT(TEXT(W16+1,"jjjj"),1))="J",TEXT(_xlfn.ISOWEEKNUM(W16),"00"),""),"")),"")</f>
        <v/>
      </c>
      <c r="Z16" s="6">
        <f t="shared" si="28"/>
        <v>44815</v>
      </c>
      <c r="AA16" s="7" t="str">
        <f t="shared" si="13"/>
        <v>D</v>
      </c>
      <c r="AB16" s="10" t="str">
        <f>IF(Z16&lt;&gt;"",IFERROR(INDEX(TJoursFeries[Jour férié],MATCH(Z16,TJoursFeries[A afficher],0)),IF(AfficherNoSemaine="Oui",IF(UPPER(LEFT(TEXT(Z16+1,"jjjj"),1))="J",TEXT(_xlfn.ISOWEEKNUM(Z16),"00"),""),"")),"")</f>
        <v/>
      </c>
      <c r="AC16" s="6">
        <f t="shared" si="29"/>
        <v>44845</v>
      </c>
      <c r="AD16" s="7" t="str">
        <f t="shared" si="15"/>
        <v>M</v>
      </c>
      <c r="AE16" s="10" t="str">
        <f>IF(AC16&lt;&gt;"",IFERROR(INDEX(TJoursFeries[Jour férié],MATCH(AC16,TJoursFeries[A afficher],0)),IF(AfficherNoSemaine="Oui",IF(UPPER(LEFT(TEXT(AC16+1,"jjjj"),1))="J",TEXT(_xlfn.ISOWEEKNUM(AC16),"00"),""),"")),"")</f>
        <v/>
      </c>
      <c r="AF16" s="6">
        <f t="shared" si="30"/>
        <v>44876</v>
      </c>
      <c r="AG16" s="7" t="str">
        <f t="shared" si="17"/>
        <v>V</v>
      </c>
      <c r="AH16" s="10" t="str">
        <f>IF(AF16&lt;&gt;"",IFERROR(INDEX(TJoursFeries[Jour férié],MATCH(AF16,TJoursFeries[A afficher],0)),IF(AfficherNoSemaine="Oui",IF(UPPER(LEFT(TEXT(AF16+1,"jjjj"),1))="J",TEXT(_xlfn.ISOWEEKNUM(AF16),"00"),""),"")),"")</f>
        <v>Armistice 1918</v>
      </c>
      <c r="AI16" s="6">
        <f t="shared" si="31"/>
        <v>44906</v>
      </c>
      <c r="AJ16" s="7" t="str">
        <f t="shared" si="19"/>
        <v>D</v>
      </c>
      <c r="AK16" s="10" t="str">
        <f>IF(AI16&lt;&gt;"",IFERROR(INDEX(TJoursFeries[Jour férié],MATCH(AI16,TJoursFeries[A afficher],0)),IF(AfficherNoSemaine="Oui",IF(UPPER(LEFT(TEXT(AI16+1,"jjjj"),1))="J",TEXT(_xlfn.ISOWEEKNUM(AI16),"00"),""),"")),"")</f>
        <v/>
      </c>
    </row>
    <row r="17" spans="2:40" s="4" customFormat="1" ht="30" customHeight="1" x14ac:dyDescent="0.2">
      <c r="B17" s="6">
        <f t="shared" si="32"/>
        <v>44573</v>
      </c>
      <c r="C17" s="7" t="str">
        <f t="shared" si="20"/>
        <v>M</v>
      </c>
      <c r="D17" s="10" t="str">
        <f>IF(B17&lt;&gt;"",IFERROR(INDEX(TJoursFeries[Jour férié],MATCH(B17,TJoursFeries[A afficher],0)),IF(AfficherNoSemaine="Oui",IF(UPPER(LEFT(TEXT(B17+1,"jjjj"),1))="J",TEXT(_xlfn.ISOWEEKNUM(B17),"00"),""),"")),"")</f>
        <v>02</v>
      </c>
      <c r="E17" s="6">
        <f t="shared" si="33"/>
        <v>44604</v>
      </c>
      <c r="F17" s="7" t="str">
        <f t="shared" si="21"/>
        <v>S</v>
      </c>
      <c r="G17" s="10" t="str">
        <f>IF(E17&lt;&gt;"",IFERROR(INDEX(TJoursFeries[Jour férié],MATCH(E17,TJoursFeries[A afficher],0)),IF(AfficherNoSemaine="Oui",IF(UPPER(LEFT(TEXT(E17+1,"jjjj"),1))="J",TEXT(_xlfn.ISOWEEKNUM(E17),"00"),""),"")),"")</f>
        <v/>
      </c>
      <c r="H17" s="6">
        <f t="shared" si="22"/>
        <v>44632</v>
      </c>
      <c r="I17" s="7" t="str">
        <f t="shared" si="1"/>
        <v>S</v>
      </c>
      <c r="J17" s="10" t="str">
        <f>IF(H17&lt;&gt;"",IFERROR(INDEX(TJoursFeries[Jour férié],MATCH(H17,TJoursFeries[A afficher],0)),IF(AfficherNoSemaine="Oui",IF(UPPER(LEFT(TEXT(H17+1,"jjjj"),1))="J",TEXT(_xlfn.ISOWEEKNUM(H17),"00"),""),"")),"")</f>
        <v/>
      </c>
      <c r="K17" s="6">
        <f t="shared" si="23"/>
        <v>44663</v>
      </c>
      <c r="L17" s="7" t="str">
        <f t="shared" si="1"/>
        <v>M</v>
      </c>
      <c r="M17" s="10" t="str">
        <f>IF(K17&lt;&gt;"",IFERROR(INDEX(TJoursFeries[Jour férié],MATCH(K17,TJoursFeries[A afficher],0)),IF(AfficherNoSemaine="Oui",IF(UPPER(LEFT(TEXT(K17+1,"jjjj"),1))="J",TEXT(_xlfn.ISOWEEKNUM(K17),"00"),""),"")),"")</f>
        <v/>
      </c>
      <c r="N17" s="6">
        <f t="shared" si="24"/>
        <v>44693</v>
      </c>
      <c r="O17" s="7" t="str">
        <f t="shared" si="1"/>
        <v>J</v>
      </c>
      <c r="P17" s="10" t="str">
        <f>IF(N17&lt;&gt;"",IFERROR(INDEX(TJoursFeries[Jour férié],MATCH(N17,TJoursFeries[A afficher],0)),IF(AfficherNoSemaine="Oui",IF(UPPER(LEFT(TEXT(N17+1,"jjjj"),1))="J",TEXT(_xlfn.ISOWEEKNUM(N17),"00"),""),"")),"")</f>
        <v/>
      </c>
      <c r="Q17" s="6">
        <f t="shared" si="25"/>
        <v>44724</v>
      </c>
      <c r="R17" s="7" t="str">
        <f t="shared" si="1"/>
        <v>D</v>
      </c>
      <c r="S17" s="10" t="str">
        <f>IF(Q17&lt;&gt;"",IFERROR(INDEX(TJoursFeries[Jour férié],MATCH(Q17,TJoursFeries[A afficher],0)),IF(AfficherNoSemaine="Oui",IF(UPPER(LEFT(TEXT(Q17+1,"jjjj"),1))="J",TEXT(_xlfn.ISOWEEKNUM(Q17),"00"),""),"")),"")</f>
        <v/>
      </c>
      <c r="T17" s="6">
        <f t="shared" si="26"/>
        <v>44754</v>
      </c>
      <c r="U17" s="7" t="str">
        <f t="shared" si="9"/>
        <v>M</v>
      </c>
      <c r="V17" s="10" t="str">
        <f>IF(T17&lt;&gt;"",IFERROR(INDEX(TJoursFeries[Jour férié],MATCH(T17,TJoursFeries[A afficher],0)),IF(AfficherNoSemaine="Oui",IF(UPPER(LEFT(TEXT(T17+1,"jjjj"),1))="J",TEXT(_xlfn.ISOWEEKNUM(T17),"00"),""),"")),"")</f>
        <v/>
      </c>
      <c r="W17" s="6">
        <f t="shared" si="27"/>
        <v>44785</v>
      </c>
      <c r="X17" s="7" t="str">
        <f t="shared" si="11"/>
        <v>V</v>
      </c>
      <c r="Y17" s="10" t="str">
        <f>IF(W17&lt;&gt;"",IFERROR(INDEX(TJoursFeries[Jour férié],MATCH(W17,TJoursFeries[A afficher],0)),IF(AfficherNoSemaine="Oui",IF(UPPER(LEFT(TEXT(W17+1,"jjjj"),1))="J",TEXT(_xlfn.ISOWEEKNUM(W17),"00"),""),"")),"")</f>
        <v/>
      </c>
      <c r="Z17" s="6">
        <f t="shared" si="28"/>
        <v>44816</v>
      </c>
      <c r="AA17" s="7" t="str">
        <f t="shared" si="13"/>
        <v>L</v>
      </c>
      <c r="AB17" s="10" t="str">
        <f>IF(Z17&lt;&gt;"",IFERROR(INDEX(TJoursFeries[Jour férié],MATCH(Z17,TJoursFeries[A afficher],0)),IF(AfficherNoSemaine="Oui",IF(UPPER(LEFT(TEXT(Z17+1,"jjjj"),1))="J",TEXT(_xlfn.ISOWEEKNUM(Z17),"00"),""),"")),"")</f>
        <v/>
      </c>
      <c r="AC17" s="6">
        <f t="shared" si="29"/>
        <v>44846</v>
      </c>
      <c r="AD17" s="7" t="str">
        <f t="shared" si="15"/>
        <v>M</v>
      </c>
      <c r="AE17" s="10" t="str">
        <f>IF(AC17&lt;&gt;"",IFERROR(INDEX(TJoursFeries[Jour férié],MATCH(AC17,TJoursFeries[A afficher],0)),IF(AfficherNoSemaine="Oui",IF(UPPER(LEFT(TEXT(AC17+1,"jjjj"),1))="J",TEXT(_xlfn.ISOWEEKNUM(AC17),"00"),""),"")),"")</f>
        <v>41</v>
      </c>
      <c r="AF17" s="6">
        <f t="shared" si="30"/>
        <v>44877</v>
      </c>
      <c r="AG17" s="7" t="str">
        <f t="shared" si="17"/>
        <v>S</v>
      </c>
      <c r="AH17" s="10" t="str">
        <f>IF(AF17&lt;&gt;"",IFERROR(INDEX(TJoursFeries[Jour férié],MATCH(AF17,TJoursFeries[A afficher],0)),IF(AfficherNoSemaine="Oui",IF(UPPER(LEFT(TEXT(AF17+1,"jjjj"),1))="J",TEXT(_xlfn.ISOWEEKNUM(AF17),"00"),""),"")),"")</f>
        <v/>
      </c>
      <c r="AI17" s="6">
        <f t="shared" si="31"/>
        <v>44907</v>
      </c>
      <c r="AJ17" s="7" t="str">
        <f t="shared" si="19"/>
        <v>L</v>
      </c>
      <c r="AK17" s="10" t="str">
        <f>IF(AI17&lt;&gt;"",IFERROR(INDEX(TJoursFeries[Jour férié],MATCH(AI17,TJoursFeries[A afficher],0)),IF(AfficherNoSemaine="Oui",IF(UPPER(LEFT(TEXT(AI17+1,"jjjj"),1))="J",TEXT(_xlfn.ISOWEEKNUM(AI17),"00"),""),"")),"")</f>
        <v/>
      </c>
    </row>
    <row r="18" spans="2:40" s="4" customFormat="1" ht="30" customHeight="1" x14ac:dyDescent="0.2">
      <c r="B18" s="6">
        <f t="shared" si="32"/>
        <v>44574</v>
      </c>
      <c r="C18" s="7" t="str">
        <f t="shared" si="20"/>
        <v>J</v>
      </c>
      <c r="D18" s="10" t="str">
        <f>IF(B18&lt;&gt;"",IFERROR(INDEX(TJoursFeries[Jour férié],MATCH(B18,TJoursFeries[A afficher],0)),IF(AfficherNoSemaine="Oui",IF(UPPER(LEFT(TEXT(B18+1,"jjjj"),1))="J",TEXT(_xlfn.ISOWEEKNUM(B18),"00"),""),"")),"")</f>
        <v/>
      </c>
      <c r="E18" s="6">
        <f t="shared" si="33"/>
        <v>44605</v>
      </c>
      <c r="F18" s="7" t="str">
        <f t="shared" si="21"/>
        <v>D</v>
      </c>
      <c r="G18" s="10" t="str">
        <f>IF(E18&lt;&gt;"",IFERROR(INDEX(TJoursFeries[Jour férié],MATCH(E18,TJoursFeries[A afficher],0)),IF(AfficherNoSemaine="Oui",IF(UPPER(LEFT(TEXT(E18+1,"jjjj"),1))="J",TEXT(_xlfn.ISOWEEKNUM(E18),"00"),""),"")),"")</f>
        <v/>
      </c>
      <c r="H18" s="6">
        <f t="shared" si="22"/>
        <v>44633</v>
      </c>
      <c r="I18" s="7" t="str">
        <f t="shared" si="1"/>
        <v>D</v>
      </c>
      <c r="J18" s="10" t="str">
        <f>IF(H18&lt;&gt;"",IFERROR(INDEX(TJoursFeries[Jour férié],MATCH(H18,TJoursFeries[A afficher],0)),IF(AfficherNoSemaine="Oui",IF(UPPER(LEFT(TEXT(H18+1,"jjjj"),1))="J",TEXT(_xlfn.ISOWEEKNUM(H18),"00"),""),"")),"")</f>
        <v/>
      </c>
      <c r="K18" s="6">
        <f t="shared" si="23"/>
        <v>44664</v>
      </c>
      <c r="L18" s="7" t="str">
        <f t="shared" si="1"/>
        <v>M</v>
      </c>
      <c r="M18" s="10" t="str">
        <f>IF(K18&lt;&gt;"",IFERROR(INDEX(TJoursFeries[Jour férié],MATCH(K18,TJoursFeries[A afficher],0)),IF(AfficherNoSemaine="Oui",IF(UPPER(LEFT(TEXT(K18+1,"jjjj"),1))="J",TEXT(_xlfn.ISOWEEKNUM(K18),"00"),""),"")),"")</f>
        <v>15</v>
      </c>
      <c r="N18" s="6">
        <f t="shared" si="24"/>
        <v>44694</v>
      </c>
      <c r="O18" s="7" t="str">
        <f t="shared" si="1"/>
        <v>V</v>
      </c>
      <c r="P18" s="10" t="str">
        <f>IF(N18&lt;&gt;"",IFERROR(INDEX(TJoursFeries[Jour férié],MATCH(N18,TJoursFeries[A afficher],0)),IF(AfficherNoSemaine="Oui",IF(UPPER(LEFT(TEXT(N18+1,"jjjj"),1))="J",TEXT(_xlfn.ISOWEEKNUM(N18),"00"),""),"")),"")</f>
        <v/>
      </c>
      <c r="Q18" s="6">
        <f t="shared" si="25"/>
        <v>44725</v>
      </c>
      <c r="R18" s="7" t="str">
        <f t="shared" si="1"/>
        <v>L</v>
      </c>
      <c r="S18" s="10" t="str">
        <f>IF(Q18&lt;&gt;"",IFERROR(INDEX(TJoursFeries[Jour férié],MATCH(Q18,TJoursFeries[A afficher],0)),IF(AfficherNoSemaine="Oui",IF(UPPER(LEFT(TEXT(Q18+1,"jjjj"),1))="J",TEXT(_xlfn.ISOWEEKNUM(Q18),"00"),""),"")),"")</f>
        <v/>
      </c>
      <c r="T18" s="6">
        <f t="shared" si="26"/>
        <v>44755</v>
      </c>
      <c r="U18" s="7" t="str">
        <f t="shared" si="9"/>
        <v>M</v>
      </c>
      <c r="V18" s="10" t="str">
        <f>IF(T18&lt;&gt;"",IFERROR(INDEX(TJoursFeries[Jour férié],MATCH(T18,TJoursFeries[A afficher],0)),IF(AfficherNoSemaine="Oui",IF(UPPER(LEFT(TEXT(T18+1,"jjjj"),1))="J",TEXT(_xlfn.ISOWEEKNUM(T18),"00"),""),"")),"")</f>
        <v>28</v>
      </c>
      <c r="W18" s="6">
        <f t="shared" si="27"/>
        <v>44786</v>
      </c>
      <c r="X18" s="7" t="str">
        <f t="shared" si="11"/>
        <v>S</v>
      </c>
      <c r="Y18" s="10" t="str">
        <f>IF(W18&lt;&gt;"",IFERROR(INDEX(TJoursFeries[Jour férié],MATCH(W18,TJoursFeries[A afficher],0)),IF(AfficherNoSemaine="Oui",IF(UPPER(LEFT(TEXT(W18+1,"jjjj"),1))="J",TEXT(_xlfn.ISOWEEKNUM(W18),"00"),""),"")),"")</f>
        <v/>
      </c>
      <c r="Z18" s="6">
        <f t="shared" si="28"/>
        <v>44817</v>
      </c>
      <c r="AA18" s="7" t="str">
        <f t="shared" si="13"/>
        <v>M</v>
      </c>
      <c r="AB18" s="10" t="str">
        <f>IF(Z18&lt;&gt;"",IFERROR(INDEX(TJoursFeries[Jour férié],MATCH(Z18,TJoursFeries[A afficher],0)),IF(AfficherNoSemaine="Oui",IF(UPPER(LEFT(TEXT(Z18+1,"jjjj"),1))="J",TEXT(_xlfn.ISOWEEKNUM(Z18),"00"),""),"")),"")</f>
        <v/>
      </c>
      <c r="AC18" s="6">
        <f t="shared" si="29"/>
        <v>44847</v>
      </c>
      <c r="AD18" s="7" t="str">
        <f t="shared" si="15"/>
        <v>J</v>
      </c>
      <c r="AE18" s="10" t="str">
        <f>IF(AC18&lt;&gt;"",IFERROR(INDEX(TJoursFeries[Jour férié],MATCH(AC18,TJoursFeries[A afficher],0)),IF(AfficherNoSemaine="Oui",IF(UPPER(LEFT(TEXT(AC18+1,"jjjj"),1))="J",TEXT(_xlfn.ISOWEEKNUM(AC18),"00"),""),"")),"")</f>
        <v/>
      </c>
      <c r="AF18" s="6">
        <f t="shared" si="30"/>
        <v>44878</v>
      </c>
      <c r="AG18" s="7" t="str">
        <f t="shared" si="17"/>
        <v>D</v>
      </c>
      <c r="AH18" s="10" t="str">
        <f>IF(AF18&lt;&gt;"",IFERROR(INDEX(TJoursFeries[Jour férié],MATCH(AF18,TJoursFeries[A afficher],0)),IF(AfficherNoSemaine="Oui",IF(UPPER(LEFT(TEXT(AF18+1,"jjjj"),1))="J",TEXT(_xlfn.ISOWEEKNUM(AF18),"00"),""),"")),"")</f>
        <v/>
      </c>
      <c r="AI18" s="6">
        <f t="shared" si="31"/>
        <v>44908</v>
      </c>
      <c r="AJ18" s="7" t="str">
        <f t="shared" si="19"/>
        <v>M</v>
      </c>
      <c r="AK18" s="10" t="str">
        <f>IF(AI18&lt;&gt;"",IFERROR(INDEX(TJoursFeries[Jour férié],MATCH(AI18,TJoursFeries[A afficher],0)),IF(AfficherNoSemaine="Oui",IF(UPPER(LEFT(TEXT(AI18+1,"jjjj"),1))="J",TEXT(_xlfn.ISOWEEKNUM(AI18),"00"),""),"")),"")</f>
        <v/>
      </c>
    </row>
    <row r="19" spans="2:40" s="4" customFormat="1" ht="30" customHeight="1" x14ac:dyDescent="0.2">
      <c r="B19" s="6">
        <f t="shared" si="32"/>
        <v>44575</v>
      </c>
      <c r="C19" s="7" t="str">
        <f t="shared" si="20"/>
        <v>V</v>
      </c>
      <c r="D19" s="10" t="str">
        <f>IF(B19&lt;&gt;"",IFERROR(INDEX(TJoursFeries[Jour férié],MATCH(B19,TJoursFeries[A afficher],0)),IF(AfficherNoSemaine="Oui",IF(UPPER(LEFT(TEXT(B19+1,"jjjj"),1))="J",TEXT(_xlfn.ISOWEEKNUM(B19),"00"),""),"")),"")</f>
        <v/>
      </c>
      <c r="E19" s="6">
        <f t="shared" si="33"/>
        <v>44606</v>
      </c>
      <c r="F19" s="7" t="str">
        <f t="shared" si="21"/>
        <v>L</v>
      </c>
      <c r="G19" s="10" t="str">
        <f>IF(E19&lt;&gt;"",IFERROR(INDEX(TJoursFeries[Jour férié],MATCH(E19,TJoursFeries[A afficher],0)),IF(AfficherNoSemaine="Oui",IF(UPPER(LEFT(TEXT(E19+1,"jjjj"),1))="J",TEXT(_xlfn.ISOWEEKNUM(E19),"00"),""),"")),"")</f>
        <v/>
      </c>
      <c r="H19" s="6">
        <f t="shared" si="22"/>
        <v>44634</v>
      </c>
      <c r="I19" s="7" t="str">
        <f t="shared" si="1"/>
        <v>L</v>
      </c>
      <c r="J19" s="10" t="str">
        <f>IF(H19&lt;&gt;"",IFERROR(INDEX(TJoursFeries[Jour férié],MATCH(H19,TJoursFeries[A afficher],0)),IF(AfficherNoSemaine="Oui",IF(UPPER(LEFT(TEXT(H19+1,"jjjj"),1))="J",TEXT(_xlfn.ISOWEEKNUM(H19),"00"),""),"")),"")</f>
        <v/>
      </c>
      <c r="K19" s="6">
        <f t="shared" si="23"/>
        <v>44665</v>
      </c>
      <c r="L19" s="7" t="str">
        <f t="shared" si="1"/>
        <v>J</v>
      </c>
      <c r="M19" s="10" t="str">
        <f>IF(K19&lt;&gt;"",IFERROR(INDEX(TJoursFeries[Jour férié],MATCH(K19,TJoursFeries[A afficher],0)),IF(AfficherNoSemaine="Oui",IF(UPPER(LEFT(TEXT(K19+1,"jjjj"),1))="J",TEXT(_xlfn.ISOWEEKNUM(K19),"00"),""),"")),"")</f>
        <v/>
      </c>
      <c r="N19" s="6">
        <f t="shared" si="24"/>
        <v>44695</v>
      </c>
      <c r="O19" s="7" t="str">
        <f t="shared" si="1"/>
        <v>S</v>
      </c>
      <c r="P19" s="10" t="str">
        <f>IF(N19&lt;&gt;"",IFERROR(INDEX(TJoursFeries[Jour férié],MATCH(N19,TJoursFeries[A afficher],0)),IF(AfficherNoSemaine="Oui",IF(UPPER(LEFT(TEXT(N19+1,"jjjj"),1))="J",TEXT(_xlfn.ISOWEEKNUM(N19),"00"),""),"")),"")</f>
        <v/>
      </c>
      <c r="Q19" s="6">
        <f t="shared" si="25"/>
        <v>44726</v>
      </c>
      <c r="R19" s="7" t="str">
        <f t="shared" si="1"/>
        <v>M</v>
      </c>
      <c r="S19" s="10" t="str">
        <f>IF(Q19&lt;&gt;"",IFERROR(INDEX(TJoursFeries[Jour férié],MATCH(Q19,TJoursFeries[A afficher],0)),IF(AfficherNoSemaine="Oui",IF(UPPER(LEFT(TEXT(Q19+1,"jjjj"),1))="J",TEXT(_xlfn.ISOWEEKNUM(Q19),"00"),""),"")),"")</f>
        <v/>
      </c>
      <c r="T19" s="6">
        <f t="shared" si="26"/>
        <v>44756</v>
      </c>
      <c r="U19" s="7" t="str">
        <f t="shared" si="9"/>
        <v>J</v>
      </c>
      <c r="V19" s="10" t="str">
        <f>IF(T19&lt;&gt;"",IFERROR(INDEX(TJoursFeries[Jour férié],MATCH(T19,TJoursFeries[A afficher],0)),IF(AfficherNoSemaine="Oui",IF(UPPER(LEFT(TEXT(T19+1,"jjjj"),1))="J",TEXT(_xlfn.ISOWEEKNUM(T19),"00"),""),"")),"")</f>
        <v>Fête nationale</v>
      </c>
      <c r="W19" s="6">
        <f t="shared" si="27"/>
        <v>44787</v>
      </c>
      <c r="X19" s="7" t="str">
        <f t="shared" si="11"/>
        <v>D</v>
      </c>
      <c r="Y19" s="10" t="str">
        <f>IF(W19&lt;&gt;"",IFERROR(INDEX(TJoursFeries[Jour férié],MATCH(W19,TJoursFeries[A afficher],0)),IF(AfficherNoSemaine="Oui",IF(UPPER(LEFT(TEXT(W19+1,"jjjj"),1))="J",TEXT(_xlfn.ISOWEEKNUM(W19),"00"),""),"")),"")</f>
        <v/>
      </c>
      <c r="Z19" s="6">
        <f t="shared" si="28"/>
        <v>44818</v>
      </c>
      <c r="AA19" s="7" t="str">
        <f t="shared" si="13"/>
        <v>M</v>
      </c>
      <c r="AB19" s="10" t="str">
        <f>IF(Z19&lt;&gt;"",IFERROR(INDEX(TJoursFeries[Jour férié],MATCH(Z19,TJoursFeries[A afficher],0)),IF(AfficherNoSemaine="Oui",IF(UPPER(LEFT(TEXT(Z19+1,"jjjj"),1))="J",TEXT(_xlfn.ISOWEEKNUM(Z19),"00"),""),"")),"")</f>
        <v>37</v>
      </c>
      <c r="AC19" s="6">
        <f t="shared" si="29"/>
        <v>44848</v>
      </c>
      <c r="AD19" s="7" t="str">
        <f t="shared" si="15"/>
        <v>V</v>
      </c>
      <c r="AE19" s="10" t="str">
        <f>IF(AC19&lt;&gt;"",IFERROR(INDEX(TJoursFeries[Jour férié],MATCH(AC19,TJoursFeries[A afficher],0)),IF(AfficherNoSemaine="Oui",IF(UPPER(LEFT(TEXT(AC19+1,"jjjj"),1))="J",TEXT(_xlfn.ISOWEEKNUM(AC19),"00"),""),"")),"")</f>
        <v/>
      </c>
      <c r="AF19" s="6">
        <f t="shared" si="30"/>
        <v>44879</v>
      </c>
      <c r="AG19" s="7" t="str">
        <f t="shared" si="17"/>
        <v>L</v>
      </c>
      <c r="AH19" s="10" t="str">
        <f>IF(AF19&lt;&gt;"",IFERROR(INDEX(TJoursFeries[Jour férié],MATCH(AF19,TJoursFeries[A afficher],0)),IF(AfficherNoSemaine="Oui",IF(UPPER(LEFT(TEXT(AF19+1,"jjjj"),1))="J",TEXT(_xlfn.ISOWEEKNUM(AF19),"00"),""),"")),"")</f>
        <v/>
      </c>
      <c r="AI19" s="6">
        <f t="shared" si="31"/>
        <v>44909</v>
      </c>
      <c r="AJ19" s="7" t="str">
        <f t="shared" si="19"/>
        <v>M</v>
      </c>
      <c r="AK19" s="10" t="str">
        <f>IF(AI19&lt;&gt;"",IFERROR(INDEX(TJoursFeries[Jour férié],MATCH(AI19,TJoursFeries[A afficher],0)),IF(AfficherNoSemaine="Oui",IF(UPPER(LEFT(TEXT(AI19+1,"jjjj"),1))="J",TEXT(_xlfn.ISOWEEKNUM(AI19),"00"),""),"")),"")</f>
        <v>50</v>
      </c>
    </row>
    <row r="20" spans="2:40" s="4" customFormat="1" ht="30" customHeight="1" x14ac:dyDescent="0.2">
      <c r="B20" s="6">
        <f t="shared" si="32"/>
        <v>44576</v>
      </c>
      <c r="C20" s="7" t="str">
        <f t="shared" si="20"/>
        <v>S</v>
      </c>
      <c r="D20" s="10" t="str">
        <f>IF(B20&lt;&gt;"",IFERROR(INDEX(TJoursFeries[Jour férié],MATCH(B20,TJoursFeries[A afficher],0)),IF(AfficherNoSemaine="Oui",IF(UPPER(LEFT(TEXT(B20+1,"jjjj"),1))="J",TEXT(_xlfn.ISOWEEKNUM(B20),"00"),""),"")),"")</f>
        <v/>
      </c>
      <c r="E20" s="6">
        <f t="shared" si="33"/>
        <v>44607</v>
      </c>
      <c r="F20" s="7" t="str">
        <f t="shared" si="21"/>
        <v>M</v>
      </c>
      <c r="G20" s="10" t="str">
        <f>IF(E20&lt;&gt;"",IFERROR(INDEX(TJoursFeries[Jour férié],MATCH(E20,TJoursFeries[A afficher],0)),IF(AfficherNoSemaine="Oui",IF(UPPER(LEFT(TEXT(E20+1,"jjjj"),1))="J",TEXT(_xlfn.ISOWEEKNUM(E20),"00"),""),"")),"")</f>
        <v/>
      </c>
      <c r="H20" s="6">
        <f t="shared" si="22"/>
        <v>44635</v>
      </c>
      <c r="I20" s="7" t="str">
        <f t="shared" si="1"/>
        <v>M</v>
      </c>
      <c r="J20" s="10" t="str">
        <f>IF(H20&lt;&gt;"",IFERROR(INDEX(TJoursFeries[Jour férié],MATCH(H20,TJoursFeries[A afficher],0)),IF(AfficherNoSemaine="Oui",IF(UPPER(LEFT(TEXT(H20+1,"jjjj"),1))="J",TEXT(_xlfn.ISOWEEKNUM(H20),"00"),""),"")),"")</f>
        <v/>
      </c>
      <c r="K20" s="6">
        <f t="shared" si="23"/>
        <v>44666</v>
      </c>
      <c r="L20" s="7" t="str">
        <f t="shared" si="1"/>
        <v>V</v>
      </c>
      <c r="M20" s="10" t="str">
        <f>IF(K20&lt;&gt;"",IFERROR(INDEX(TJoursFeries[Jour férié],MATCH(K20,TJoursFeries[A afficher],0)),IF(AfficherNoSemaine="Oui",IF(UPPER(LEFT(TEXT(K20+1,"jjjj"),1))="J",TEXT(_xlfn.ISOWEEKNUM(K20),"00"),""),"")),"")</f>
        <v/>
      </c>
      <c r="N20" s="6">
        <f t="shared" si="24"/>
        <v>44696</v>
      </c>
      <c r="O20" s="7" t="str">
        <f t="shared" si="1"/>
        <v>D</v>
      </c>
      <c r="P20" s="10" t="str">
        <f>IF(N20&lt;&gt;"",IFERROR(INDEX(TJoursFeries[Jour férié],MATCH(N20,TJoursFeries[A afficher],0)),IF(AfficherNoSemaine="Oui",IF(UPPER(LEFT(TEXT(N20+1,"jjjj"),1))="J",TEXT(_xlfn.ISOWEEKNUM(N20),"00"),""),"")),"")</f>
        <v/>
      </c>
      <c r="Q20" s="6">
        <f t="shared" si="25"/>
        <v>44727</v>
      </c>
      <c r="R20" s="7" t="str">
        <f t="shared" si="1"/>
        <v>M</v>
      </c>
      <c r="S20" s="10" t="str">
        <f>IF(Q20&lt;&gt;"",IFERROR(INDEX(TJoursFeries[Jour férié],MATCH(Q20,TJoursFeries[A afficher],0)),IF(AfficherNoSemaine="Oui",IF(UPPER(LEFT(TEXT(Q20+1,"jjjj"),1))="J",TEXT(_xlfn.ISOWEEKNUM(Q20),"00"),""),"")),"")</f>
        <v>24</v>
      </c>
      <c r="T20" s="6">
        <f t="shared" si="26"/>
        <v>44757</v>
      </c>
      <c r="U20" s="7" t="str">
        <f t="shared" si="9"/>
        <v>V</v>
      </c>
      <c r="V20" s="10" t="str">
        <f>IF(T20&lt;&gt;"",IFERROR(INDEX(TJoursFeries[Jour férié],MATCH(T20,TJoursFeries[A afficher],0)),IF(AfficherNoSemaine="Oui",IF(UPPER(LEFT(TEXT(T20+1,"jjjj"),1))="J",TEXT(_xlfn.ISOWEEKNUM(T20),"00"),""),"")),"")</f>
        <v/>
      </c>
      <c r="W20" s="6">
        <f t="shared" si="27"/>
        <v>44788</v>
      </c>
      <c r="X20" s="7" t="str">
        <f t="shared" si="11"/>
        <v>L</v>
      </c>
      <c r="Y20" s="10" t="str">
        <f>IF(W20&lt;&gt;"",IFERROR(INDEX(TJoursFeries[Jour férié],MATCH(W20,TJoursFeries[A afficher],0)),IF(AfficherNoSemaine="Oui",IF(UPPER(LEFT(TEXT(W20+1,"jjjj"),1))="J",TEXT(_xlfn.ISOWEEKNUM(W20),"00"),""),"")),"")</f>
        <v>Assomption</v>
      </c>
      <c r="Z20" s="6">
        <f t="shared" si="28"/>
        <v>44819</v>
      </c>
      <c r="AA20" s="7" t="str">
        <f t="shared" si="13"/>
        <v>J</v>
      </c>
      <c r="AB20" s="10" t="str">
        <f>IF(Z20&lt;&gt;"",IFERROR(INDEX(TJoursFeries[Jour férié],MATCH(Z20,TJoursFeries[A afficher],0)),IF(AfficherNoSemaine="Oui",IF(UPPER(LEFT(TEXT(Z20+1,"jjjj"),1))="J",TEXT(_xlfn.ISOWEEKNUM(Z20),"00"),""),"")),"")</f>
        <v/>
      </c>
      <c r="AC20" s="6">
        <f t="shared" si="29"/>
        <v>44849</v>
      </c>
      <c r="AD20" s="7" t="str">
        <f t="shared" si="15"/>
        <v>S</v>
      </c>
      <c r="AE20" s="10" t="str">
        <f>IF(AC20&lt;&gt;"",IFERROR(INDEX(TJoursFeries[Jour férié],MATCH(AC20,TJoursFeries[A afficher],0)),IF(AfficherNoSemaine="Oui",IF(UPPER(LEFT(TEXT(AC20+1,"jjjj"),1))="J",TEXT(_xlfn.ISOWEEKNUM(AC20),"00"),""),"")),"")</f>
        <v/>
      </c>
      <c r="AF20" s="6">
        <f t="shared" si="30"/>
        <v>44880</v>
      </c>
      <c r="AG20" s="7" t="str">
        <f t="shared" si="17"/>
        <v>M</v>
      </c>
      <c r="AH20" s="10" t="str">
        <f>IF(AF20&lt;&gt;"",IFERROR(INDEX(TJoursFeries[Jour férié],MATCH(AF20,TJoursFeries[A afficher],0)),IF(AfficherNoSemaine="Oui",IF(UPPER(LEFT(TEXT(AF20+1,"jjjj"),1))="J",TEXT(_xlfn.ISOWEEKNUM(AF20),"00"),""),"")),"")</f>
        <v/>
      </c>
      <c r="AI20" s="6">
        <f t="shared" si="31"/>
        <v>44910</v>
      </c>
      <c r="AJ20" s="7" t="str">
        <f t="shared" si="19"/>
        <v>J</v>
      </c>
      <c r="AK20" s="10" t="str">
        <f>IF(AI20&lt;&gt;"",IFERROR(INDEX(TJoursFeries[Jour férié],MATCH(AI20,TJoursFeries[A afficher],0)),IF(AfficherNoSemaine="Oui",IF(UPPER(LEFT(TEXT(AI20+1,"jjjj"),1))="J",TEXT(_xlfn.ISOWEEKNUM(AI20),"00"),""),"")),"")</f>
        <v/>
      </c>
    </row>
    <row r="21" spans="2:40" s="4" customFormat="1" ht="30" customHeight="1" x14ac:dyDescent="0.2">
      <c r="B21" s="6">
        <f t="shared" si="32"/>
        <v>44577</v>
      </c>
      <c r="C21" s="7" t="str">
        <f t="shared" si="20"/>
        <v>D</v>
      </c>
      <c r="D21" s="10" t="str">
        <f>IF(B21&lt;&gt;"",IFERROR(INDEX(TJoursFeries[Jour férié],MATCH(B21,TJoursFeries[A afficher],0)),IF(AfficherNoSemaine="Oui",IF(UPPER(LEFT(TEXT(B21+1,"jjjj"),1))="J",TEXT(_xlfn.ISOWEEKNUM(B21),"00"),""),"")),"")</f>
        <v/>
      </c>
      <c r="E21" s="6">
        <f t="shared" si="33"/>
        <v>44608</v>
      </c>
      <c r="F21" s="7" t="str">
        <f t="shared" si="21"/>
        <v>M</v>
      </c>
      <c r="G21" s="10" t="str">
        <f>IF(E21&lt;&gt;"",IFERROR(INDEX(TJoursFeries[Jour férié],MATCH(E21,TJoursFeries[A afficher],0)),IF(AfficherNoSemaine="Oui",IF(UPPER(LEFT(TEXT(E21+1,"jjjj"),1))="J",TEXT(_xlfn.ISOWEEKNUM(E21),"00"),""),"")),"")</f>
        <v>07</v>
      </c>
      <c r="H21" s="6">
        <f t="shared" si="22"/>
        <v>44636</v>
      </c>
      <c r="I21" s="7" t="str">
        <f t="shared" si="1"/>
        <v>M</v>
      </c>
      <c r="J21" s="10" t="str">
        <f>IF(H21&lt;&gt;"",IFERROR(INDEX(TJoursFeries[Jour férié],MATCH(H21,TJoursFeries[A afficher],0)),IF(AfficherNoSemaine="Oui",IF(UPPER(LEFT(TEXT(H21+1,"jjjj"),1))="J",TEXT(_xlfn.ISOWEEKNUM(H21),"00"),""),"")),"")</f>
        <v>11</v>
      </c>
      <c r="K21" s="6">
        <f t="shared" si="23"/>
        <v>44667</v>
      </c>
      <c r="L21" s="7" t="str">
        <f t="shared" si="1"/>
        <v>S</v>
      </c>
      <c r="M21" s="10" t="str">
        <f>IF(K21&lt;&gt;"",IFERROR(INDEX(TJoursFeries[Jour férié],MATCH(K21,TJoursFeries[A afficher],0)),IF(AfficherNoSemaine="Oui",IF(UPPER(LEFT(TEXT(K21+1,"jjjj"),1))="J",TEXT(_xlfn.ISOWEEKNUM(K21),"00"),""),"")),"")</f>
        <v/>
      </c>
      <c r="N21" s="6">
        <f t="shared" si="24"/>
        <v>44697</v>
      </c>
      <c r="O21" s="7" t="str">
        <f t="shared" si="1"/>
        <v>L</v>
      </c>
      <c r="P21" s="10" t="str">
        <f>IF(N21&lt;&gt;"",IFERROR(INDEX(TJoursFeries[Jour férié],MATCH(N21,TJoursFeries[A afficher],0)),IF(AfficherNoSemaine="Oui",IF(UPPER(LEFT(TEXT(N21+1,"jjjj"),1))="J",TEXT(_xlfn.ISOWEEKNUM(N21),"00"),""),"")),"")</f>
        <v/>
      </c>
      <c r="Q21" s="6">
        <f t="shared" si="25"/>
        <v>44728</v>
      </c>
      <c r="R21" s="7" t="str">
        <f t="shared" si="1"/>
        <v>J</v>
      </c>
      <c r="S21" s="10" t="str">
        <f>IF(Q21&lt;&gt;"",IFERROR(INDEX(TJoursFeries[Jour férié],MATCH(Q21,TJoursFeries[A afficher],0)),IF(AfficherNoSemaine="Oui",IF(UPPER(LEFT(TEXT(Q21+1,"jjjj"),1))="J",TEXT(_xlfn.ISOWEEKNUM(Q21),"00"),""),"")),"")</f>
        <v/>
      </c>
      <c r="T21" s="6">
        <f t="shared" si="26"/>
        <v>44758</v>
      </c>
      <c r="U21" s="7" t="str">
        <f t="shared" si="9"/>
        <v>S</v>
      </c>
      <c r="V21" s="10" t="str">
        <f>IF(T21&lt;&gt;"",IFERROR(INDEX(TJoursFeries[Jour férié],MATCH(T21,TJoursFeries[A afficher],0)),IF(AfficherNoSemaine="Oui",IF(UPPER(LEFT(TEXT(T21+1,"jjjj"),1))="J",TEXT(_xlfn.ISOWEEKNUM(T21),"00"),""),"")),"")</f>
        <v/>
      </c>
      <c r="W21" s="6">
        <f t="shared" si="27"/>
        <v>44789</v>
      </c>
      <c r="X21" s="7" t="str">
        <f t="shared" si="11"/>
        <v>M</v>
      </c>
      <c r="Y21" s="10" t="str">
        <f>IF(W21&lt;&gt;"",IFERROR(INDEX(TJoursFeries[Jour férié],MATCH(W21,TJoursFeries[A afficher],0)),IF(AfficherNoSemaine="Oui",IF(UPPER(LEFT(TEXT(W21+1,"jjjj"),1))="J",TEXT(_xlfn.ISOWEEKNUM(W21),"00"),""),"")),"")</f>
        <v/>
      </c>
      <c r="Z21" s="6">
        <f t="shared" si="28"/>
        <v>44820</v>
      </c>
      <c r="AA21" s="7" t="str">
        <f t="shared" si="13"/>
        <v>V</v>
      </c>
      <c r="AB21" s="10" t="str">
        <f>IF(Z21&lt;&gt;"",IFERROR(INDEX(TJoursFeries[Jour férié],MATCH(Z21,TJoursFeries[A afficher],0)),IF(AfficherNoSemaine="Oui",IF(UPPER(LEFT(TEXT(Z21+1,"jjjj"),1))="J",TEXT(_xlfn.ISOWEEKNUM(Z21),"00"),""),"")),"")</f>
        <v/>
      </c>
      <c r="AC21" s="6">
        <f t="shared" si="29"/>
        <v>44850</v>
      </c>
      <c r="AD21" s="7" t="str">
        <f t="shared" si="15"/>
        <v>D</v>
      </c>
      <c r="AE21" s="10" t="str">
        <f>IF(AC21&lt;&gt;"",IFERROR(INDEX(TJoursFeries[Jour férié],MATCH(AC21,TJoursFeries[A afficher],0)),IF(AfficherNoSemaine="Oui",IF(UPPER(LEFT(TEXT(AC21+1,"jjjj"),1))="J",TEXT(_xlfn.ISOWEEKNUM(AC21),"00"),""),"")),"")</f>
        <v/>
      </c>
      <c r="AF21" s="6">
        <f t="shared" si="30"/>
        <v>44881</v>
      </c>
      <c r="AG21" s="7" t="str">
        <f t="shared" si="17"/>
        <v>M</v>
      </c>
      <c r="AH21" s="10" t="str">
        <f>IF(AF21&lt;&gt;"",IFERROR(INDEX(TJoursFeries[Jour férié],MATCH(AF21,TJoursFeries[A afficher],0)),IF(AfficherNoSemaine="Oui",IF(UPPER(LEFT(TEXT(AF21+1,"jjjj"),1))="J",TEXT(_xlfn.ISOWEEKNUM(AF21),"00"),""),"")),"")</f>
        <v>46</v>
      </c>
      <c r="AI21" s="6">
        <f t="shared" si="31"/>
        <v>44911</v>
      </c>
      <c r="AJ21" s="7" t="str">
        <f t="shared" si="19"/>
        <v>V</v>
      </c>
      <c r="AK21" s="10" t="str">
        <f>IF(AI21&lt;&gt;"",IFERROR(INDEX(TJoursFeries[Jour férié],MATCH(AI21,TJoursFeries[A afficher],0)),IF(AfficherNoSemaine="Oui",IF(UPPER(LEFT(TEXT(AI21+1,"jjjj"),1))="J",TEXT(_xlfn.ISOWEEKNUM(AI21),"00"),""),"")),"")</f>
        <v/>
      </c>
    </row>
    <row r="22" spans="2:40" s="4" customFormat="1" ht="30" customHeight="1" x14ac:dyDescent="0.2">
      <c r="B22" s="6">
        <f t="shared" si="32"/>
        <v>44578</v>
      </c>
      <c r="C22" s="7" t="str">
        <f t="shared" si="20"/>
        <v>L</v>
      </c>
      <c r="D22" s="10" t="str">
        <f>IF(B22&lt;&gt;"",IFERROR(INDEX(TJoursFeries[Jour férié],MATCH(B22,TJoursFeries[A afficher],0)),IF(AfficherNoSemaine="Oui",IF(UPPER(LEFT(TEXT(B22+1,"jjjj"),1))="J",TEXT(_xlfn.ISOWEEKNUM(B22),"00"),""),"")),"")</f>
        <v/>
      </c>
      <c r="E22" s="6">
        <f t="shared" si="33"/>
        <v>44609</v>
      </c>
      <c r="F22" s="7" t="str">
        <f t="shared" si="21"/>
        <v>J</v>
      </c>
      <c r="G22" s="10" t="str">
        <f>IF(E22&lt;&gt;"",IFERROR(INDEX(TJoursFeries[Jour férié],MATCH(E22,TJoursFeries[A afficher],0)),IF(AfficherNoSemaine="Oui",IF(UPPER(LEFT(TEXT(E22+1,"jjjj"),1))="J",TEXT(_xlfn.ISOWEEKNUM(E22),"00"),""),"")),"")</f>
        <v/>
      </c>
      <c r="H22" s="6">
        <f t="shared" si="22"/>
        <v>44637</v>
      </c>
      <c r="I22" s="7" t="str">
        <f t="shared" ref="I22:R36" si="34">UPPER(LEFT(TEXT(H22,"jjjj"),1))</f>
        <v>J</v>
      </c>
      <c r="J22" s="10" t="str">
        <f>IF(H22&lt;&gt;"",IFERROR(INDEX(TJoursFeries[Jour férié],MATCH(H22,TJoursFeries[A afficher],0)),IF(AfficherNoSemaine="Oui",IF(UPPER(LEFT(TEXT(H22+1,"jjjj"),1))="J",TEXT(_xlfn.ISOWEEKNUM(H22),"00"),""),"")),"")</f>
        <v/>
      </c>
      <c r="K22" s="6">
        <f t="shared" si="23"/>
        <v>44668</v>
      </c>
      <c r="L22" s="7" t="str">
        <f t="shared" si="34"/>
        <v>D</v>
      </c>
      <c r="M22" s="10" t="str">
        <f>IF(K22&lt;&gt;"",IFERROR(INDEX(TJoursFeries[Jour férié],MATCH(K22,TJoursFeries[A afficher],0)),IF(AfficherNoSemaine="Oui",IF(UPPER(LEFT(TEXT(K22+1,"jjjj"),1))="J",TEXT(_xlfn.ISOWEEKNUM(K22),"00"),""),"")),"")</f>
        <v>Pâques</v>
      </c>
      <c r="N22" s="6">
        <f t="shared" si="24"/>
        <v>44698</v>
      </c>
      <c r="O22" s="7" t="str">
        <f t="shared" si="34"/>
        <v>M</v>
      </c>
      <c r="P22" s="10" t="str">
        <f>IF(N22&lt;&gt;"",IFERROR(INDEX(TJoursFeries[Jour férié],MATCH(N22,TJoursFeries[A afficher],0)),IF(AfficherNoSemaine="Oui",IF(UPPER(LEFT(TEXT(N22+1,"jjjj"),1))="J",TEXT(_xlfn.ISOWEEKNUM(N22),"00"),""),"")),"")</f>
        <v/>
      </c>
      <c r="Q22" s="6">
        <f t="shared" si="25"/>
        <v>44729</v>
      </c>
      <c r="R22" s="7" t="str">
        <f t="shared" si="34"/>
        <v>V</v>
      </c>
      <c r="S22" s="10" t="str">
        <f>IF(Q22&lt;&gt;"",IFERROR(INDEX(TJoursFeries[Jour férié],MATCH(Q22,TJoursFeries[A afficher],0)),IF(AfficherNoSemaine="Oui",IF(UPPER(LEFT(TEXT(Q22+1,"jjjj"),1))="J",TEXT(_xlfn.ISOWEEKNUM(Q22),"00"),""),"")),"")</f>
        <v/>
      </c>
      <c r="T22" s="6">
        <f t="shared" si="26"/>
        <v>44759</v>
      </c>
      <c r="U22" s="7" t="str">
        <f t="shared" si="9"/>
        <v>D</v>
      </c>
      <c r="V22" s="10" t="str">
        <f>IF(T22&lt;&gt;"",IFERROR(INDEX(TJoursFeries[Jour férié],MATCH(T22,TJoursFeries[A afficher],0)),IF(AfficherNoSemaine="Oui",IF(UPPER(LEFT(TEXT(T22+1,"jjjj"),1))="J",TEXT(_xlfn.ISOWEEKNUM(T22),"00"),""),"")),"")</f>
        <v/>
      </c>
      <c r="W22" s="6">
        <f t="shared" si="27"/>
        <v>44790</v>
      </c>
      <c r="X22" s="7" t="str">
        <f t="shared" si="11"/>
        <v>M</v>
      </c>
      <c r="Y22" s="10" t="str">
        <f>IF(W22&lt;&gt;"",IFERROR(INDEX(TJoursFeries[Jour férié],MATCH(W22,TJoursFeries[A afficher],0)),IF(AfficherNoSemaine="Oui",IF(UPPER(LEFT(TEXT(W22+1,"jjjj"),1))="J",TEXT(_xlfn.ISOWEEKNUM(W22),"00"),""),"")),"")</f>
        <v>33</v>
      </c>
      <c r="Z22" s="6">
        <f t="shared" si="28"/>
        <v>44821</v>
      </c>
      <c r="AA22" s="7" t="str">
        <f t="shared" si="13"/>
        <v>S</v>
      </c>
      <c r="AB22" s="10" t="str">
        <f>IF(Z22&lt;&gt;"",IFERROR(INDEX(TJoursFeries[Jour férié],MATCH(Z22,TJoursFeries[A afficher],0)),IF(AfficherNoSemaine="Oui",IF(UPPER(LEFT(TEXT(Z22+1,"jjjj"),1))="J",TEXT(_xlfn.ISOWEEKNUM(Z22),"00"),""),"")),"")</f>
        <v/>
      </c>
      <c r="AC22" s="6">
        <f t="shared" si="29"/>
        <v>44851</v>
      </c>
      <c r="AD22" s="7" t="str">
        <f t="shared" si="15"/>
        <v>L</v>
      </c>
      <c r="AE22" s="10" t="str">
        <f>IF(AC22&lt;&gt;"",IFERROR(INDEX(TJoursFeries[Jour férié],MATCH(AC22,TJoursFeries[A afficher],0)),IF(AfficherNoSemaine="Oui",IF(UPPER(LEFT(TEXT(AC22+1,"jjjj"),1))="J",TEXT(_xlfn.ISOWEEKNUM(AC22),"00"),""),"")),"")</f>
        <v/>
      </c>
      <c r="AF22" s="6">
        <f t="shared" si="30"/>
        <v>44882</v>
      </c>
      <c r="AG22" s="7" t="str">
        <f t="shared" si="17"/>
        <v>J</v>
      </c>
      <c r="AH22" s="10" t="str">
        <f>IF(AF22&lt;&gt;"",IFERROR(INDEX(TJoursFeries[Jour férié],MATCH(AF22,TJoursFeries[A afficher],0)),IF(AfficherNoSemaine="Oui",IF(UPPER(LEFT(TEXT(AF22+1,"jjjj"),1))="J",TEXT(_xlfn.ISOWEEKNUM(AF22),"00"),""),"")),"")</f>
        <v/>
      </c>
      <c r="AI22" s="6">
        <f t="shared" si="31"/>
        <v>44912</v>
      </c>
      <c r="AJ22" s="7" t="str">
        <f t="shared" si="19"/>
        <v>S</v>
      </c>
      <c r="AK22" s="10" t="str">
        <f>IF(AI22&lt;&gt;"",IFERROR(INDEX(TJoursFeries[Jour férié],MATCH(AI22,TJoursFeries[A afficher],0)),IF(AfficherNoSemaine="Oui",IF(UPPER(LEFT(TEXT(AI22+1,"jjjj"),1))="J",TEXT(_xlfn.ISOWEEKNUM(AI22),"00"),""),"")),"")</f>
        <v/>
      </c>
    </row>
    <row r="23" spans="2:40" s="4" customFormat="1" ht="30" customHeight="1" x14ac:dyDescent="0.2">
      <c r="B23" s="6">
        <f t="shared" si="32"/>
        <v>44579</v>
      </c>
      <c r="C23" s="7" t="str">
        <f t="shared" si="20"/>
        <v>M</v>
      </c>
      <c r="D23" s="10" t="str">
        <f>IF(B23&lt;&gt;"",IFERROR(INDEX(TJoursFeries[Jour férié],MATCH(B23,TJoursFeries[A afficher],0)),IF(AfficherNoSemaine="Oui",IF(UPPER(LEFT(TEXT(B23+1,"jjjj"),1))="J",TEXT(_xlfn.ISOWEEKNUM(B23),"00"),""),"")),"")</f>
        <v/>
      </c>
      <c r="E23" s="6">
        <f t="shared" si="33"/>
        <v>44610</v>
      </c>
      <c r="F23" s="7" t="str">
        <f t="shared" si="21"/>
        <v>V</v>
      </c>
      <c r="G23" s="10" t="str">
        <f>IF(E23&lt;&gt;"",IFERROR(INDEX(TJoursFeries[Jour férié],MATCH(E23,TJoursFeries[A afficher],0)),IF(AfficherNoSemaine="Oui",IF(UPPER(LEFT(TEXT(E23+1,"jjjj"),1))="J",TEXT(_xlfn.ISOWEEKNUM(E23),"00"),""),"")),"")</f>
        <v/>
      </c>
      <c r="H23" s="6">
        <f t="shared" si="22"/>
        <v>44638</v>
      </c>
      <c r="I23" s="7" t="str">
        <f t="shared" si="34"/>
        <v>V</v>
      </c>
      <c r="J23" s="10" t="str">
        <f>IF(H23&lt;&gt;"",IFERROR(INDEX(TJoursFeries[Jour férié],MATCH(H23,TJoursFeries[A afficher],0)),IF(AfficherNoSemaine="Oui",IF(UPPER(LEFT(TEXT(H23+1,"jjjj"),1))="J",TEXT(_xlfn.ISOWEEKNUM(H23),"00"),""),"")),"")</f>
        <v/>
      </c>
      <c r="K23" s="6">
        <f t="shared" si="23"/>
        <v>44669</v>
      </c>
      <c r="L23" s="7" t="str">
        <f t="shared" si="34"/>
        <v>L</v>
      </c>
      <c r="M23" s="10" t="str">
        <f>IF(K23&lt;&gt;"",IFERROR(INDEX(TJoursFeries[Jour férié],MATCH(K23,TJoursFeries[A afficher],0)),IF(AfficherNoSemaine="Oui",IF(UPPER(LEFT(TEXT(K23+1,"jjjj"),1))="J",TEXT(_xlfn.ISOWEEKNUM(K23),"00"),""),"")),"")</f>
        <v>Lundi de Pâques</v>
      </c>
      <c r="N23" s="6">
        <f t="shared" si="24"/>
        <v>44699</v>
      </c>
      <c r="O23" s="7" t="str">
        <f t="shared" si="34"/>
        <v>M</v>
      </c>
      <c r="P23" s="10" t="str">
        <f>IF(N23&lt;&gt;"",IFERROR(INDEX(TJoursFeries[Jour férié],MATCH(N23,TJoursFeries[A afficher],0)),IF(AfficherNoSemaine="Oui",IF(UPPER(LEFT(TEXT(N23+1,"jjjj"),1))="J",TEXT(_xlfn.ISOWEEKNUM(N23),"00"),""),"")),"")</f>
        <v>20</v>
      </c>
      <c r="Q23" s="6">
        <f t="shared" si="25"/>
        <v>44730</v>
      </c>
      <c r="R23" s="7" t="str">
        <f t="shared" si="34"/>
        <v>S</v>
      </c>
      <c r="S23" s="10" t="str">
        <f>IF(Q23&lt;&gt;"",IFERROR(INDEX(TJoursFeries[Jour férié],MATCH(Q23,TJoursFeries[A afficher],0)),IF(AfficherNoSemaine="Oui",IF(UPPER(LEFT(TEXT(Q23+1,"jjjj"),1))="J",TEXT(_xlfn.ISOWEEKNUM(Q23),"00"),""),"")),"")</f>
        <v/>
      </c>
      <c r="T23" s="6">
        <f t="shared" si="26"/>
        <v>44760</v>
      </c>
      <c r="U23" s="7" t="str">
        <f t="shared" si="9"/>
        <v>L</v>
      </c>
      <c r="V23" s="10" t="str">
        <f>IF(T23&lt;&gt;"",IFERROR(INDEX(TJoursFeries[Jour férié],MATCH(T23,TJoursFeries[A afficher],0)),IF(AfficherNoSemaine="Oui",IF(UPPER(LEFT(TEXT(T23+1,"jjjj"),1))="J",TEXT(_xlfn.ISOWEEKNUM(T23),"00"),""),"")),"")</f>
        <v/>
      </c>
      <c r="W23" s="6">
        <f t="shared" si="27"/>
        <v>44791</v>
      </c>
      <c r="X23" s="7" t="str">
        <f t="shared" si="11"/>
        <v>J</v>
      </c>
      <c r="Y23" s="10" t="str">
        <f>IF(W23&lt;&gt;"",IFERROR(INDEX(TJoursFeries[Jour férié],MATCH(W23,TJoursFeries[A afficher],0)),IF(AfficherNoSemaine="Oui",IF(UPPER(LEFT(TEXT(W23+1,"jjjj"),1))="J",TEXT(_xlfn.ISOWEEKNUM(W23),"00"),""),"")),"")</f>
        <v/>
      </c>
      <c r="Z23" s="6">
        <f t="shared" si="28"/>
        <v>44822</v>
      </c>
      <c r="AA23" s="7" t="str">
        <f t="shared" si="13"/>
        <v>D</v>
      </c>
      <c r="AB23" s="10" t="str">
        <f>IF(Z23&lt;&gt;"",IFERROR(INDEX(TJoursFeries[Jour férié],MATCH(Z23,TJoursFeries[A afficher],0)),IF(AfficherNoSemaine="Oui",IF(UPPER(LEFT(TEXT(Z23+1,"jjjj"),1))="J",TEXT(_xlfn.ISOWEEKNUM(Z23),"00"),""),"")),"")</f>
        <v/>
      </c>
      <c r="AC23" s="6">
        <f t="shared" si="29"/>
        <v>44852</v>
      </c>
      <c r="AD23" s="7" t="str">
        <f t="shared" si="15"/>
        <v>M</v>
      </c>
      <c r="AE23" s="10" t="str">
        <f>IF(AC23&lt;&gt;"",IFERROR(INDEX(TJoursFeries[Jour férié],MATCH(AC23,TJoursFeries[A afficher],0)),IF(AfficherNoSemaine="Oui",IF(UPPER(LEFT(TEXT(AC23+1,"jjjj"),1))="J",TEXT(_xlfn.ISOWEEKNUM(AC23),"00"),""),"")),"")</f>
        <v/>
      </c>
      <c r="AF23" s="6">
        <f t="shared" si="30"/>
        <v>44883</v>
      </c>
      <c r="AG23" s="7" t="str">
        <f t="shared" si="17"/>
        <v>V</v>
      </c>
      <c r="AH23" s="10" t="str">
        <f>IF(AF23&lt;&gt;"",IFERROR(INDEX(TJoursFeries[Jour férié],MATCH(AF23,TJoursFeries[A afficher],0)),IF(AfficherNoSemaine="Oui",IF(UPPER(LEFT(TEXT(AF23+1,"jjjj"),1))="J",TEXT(_xlfn.ISOWEEKNUM(AF23),"00"),""),"")),"")</f>
        <v/>
      </c>
      <c r="AI23" s="6">
        <f t="shared" si="31"/>
        <v>44913</v>
      </c>
      <c r="AJ23" s="7" t="str">
        <f t="shared" si="19"/>
        <v>D</v>
      </c>
      <c r="AK23" s="10" t="str">
        <f>IF(AI23&lt;&gt;"",IFERROR(INDEX(TJoursFeries[Jour férié],MATCH(AI23,TJoursFeries[A afficher],0)),IF(AfficherNoSemaine="Oui",IF(UPPER(LEFT(TEXT(AI23+1,"jjjj"),1))="J",TEXT(_xlfn.ISOWEEKNUM(AI23),"00"),""),"")),"")</f>
        <v/>
      </c>
    </row>
    <row r="24" spans="2:40" s="4" customFormat="1" ht="30" customHeight="1" x14ac:dyDescent="0.2">
      <c r="B24" s="6">
        <f t="shared" si="32"/>
        <v>44580</v>
      </c>
      <c r="C24" s="7" t="str">
        <f t="shared" si="20"/>
        <v>M</v>
      </c>
      <c r="D24" s="10" t="str">
        <f>IF(B24&lt;&gt;"",IFERROR(INDEX(TJoursFeries[Jour férié],MATCH(B24,TJoursFeries[A afficher],0)),IF(AfficherNoSemaine="Oui",IF(UPPER(LEFT(TEXT(B24+1,"jjjj"),1))="J",TEXT(_xlfn.ISOWEEKNUM(B24),"00"),""),"")),"")</f>
        <v>03</v>
      </c>
      <c r="E24" s="6">
        <f t="shared" si="33"/>
        <v>44611</v>
      </c>
      <c r="F24" s="7" t="str">
        <f t="shared" si="21"/>
        <v>S</v>
      </c>
      <c r="G24" s="10" t="str">
        <f>IF(E24&lt;&gt;"",IFERROR(INDEX(TJoursFeries[Jour férié],MATCH(E24,TJoursFeries[A afficher],0)),IF(AfficherNoSemaine="Oui",IF(UPPER(LEFT(TEXT(E24+1,"jjjj"),1))="J",TEXT(_xlfn.ISOWEEKNUM(E24),"00"),""),"")),"")</f>
        <v/>
      </c>
      <c r="H24" s="6">
        <f t="shared" si="22"/>
        <v>44639</v>
      </c>
      <c r="I24" s="7" t="str">
        <f t="shared" si="34"/>
        <v>S</v>
      </c>
      <c r="J24" s="10" t="str">
        <f>IF(H24&lt;&gt;"",IFERROR(INDEX(TJoursFeries[Jour férié],MATCH(H24,TJoursFeries[A afficher],0)),IF(AfficherNoSemaine="Oui",IF(UPPER(LEFT(TEXT(H24+1,"jjjj"),1))="J",TEXT(_xlfn.ISOWEEKNUM(H24),"00"),""),"")),"")</f>
        <v/>
      </c>
      <c r="K24" s="6">
        <f t="shared" si="23"/>
        <v>44670</v>
      </c>
      <c r="L24" s="7" t="str">
        <f t="shared" si="34"/>
        <v>M</v>
      </c>
      <c r="M24" s="10" t="str">
        <f>IF(K24&lt;&gt;"",IFERROR(INDEX(TJoursFeries[Jour férié],MATCH(K24,TJoursFeries[A afficher],0)),IF(AfficherNoSemaine="Oui",IF(UPPER(LEFT(TEXT(K24+1,"jjjj"),1))="J",TEXT(_xlfn.ISOWEEKNUM(K24),"00"),""),"")),"")</f>
        <v/>
      </c>
      <c r="N24" s="6">
        <f t="shared" si="24"/>
        <v>44700</v>
      </c>
      <c r="O24" s="7" t="str">
        <f t="shared" si="34"/>
        <v>J</v>
      </c>
      <c r="P24" s="10" t="str">
        <f>IF(N24&lt;&gt;"",IFERROR(INDEX(TJoursFeries[Jour férié],MATCH(N24,TJoursFeries[A afficher],0)),IF(AfficherNoSemaine="Oui",IF(UPPER(LEFT(TEXT(N24+1,"jjjj"),1))="J",TEXT(_xlfn.ISOWEEKNUM(N24),"00"),""),"")),"")</f>
        <v/>
      </c>
      <c r="Q24" s="6">
        <f t="shared" si="25"/>
        <v>44731</v>
      </c>
      <c r="R24" s="7" t="str">
        <f t="shared" si="34"/>
        <v>D</v>
      </c>
      <c r="S24" s="10" t="str">
        <f>IF(Q24&lt;&gt;"",IFERROR(INDEX(TJoursFeries[Jour férié],MATCH(Q24,TJoursFeries[A afficher],0)),IF(AfficherNoSemaine="Oui",IF(UPPER(LEFT(TEXT(Q24+1,"jjjj"),1))="J",TEXT(_xlfn.ISOWEEKNUM(Q24),"00"),""),"")),"")</f>
        <v/>
      </c>
      <c r="T24" s="6">
        <f t="shared" si="26"/>
        <v>44761</v>
      </c>
      <c r="U24" s="7" t="str">
        <f t="shared" si="9"/>
        <v>M</v>
      </c>
      <c r="V24" s="10" t="str">
        <f>IF(T24&lt;&gt;"",IFERROR(INDEX(TJoursFeries[Jour férié],MATCH(T24,TJoursFeries[A afficher],0)),IF(AfficherNoSemaine="Oui",IF(UPPER(LEFT(TEXT(T24+1,"jjjj"),1))="J",TEXT(_xlfn.ISOWEEKNUM(T24),"00"),""),"")),"")</f>
        <v/>
      </c>
      <c r="W24" s="6">
        <f t="shared" si="27"/>
        <v>44792</v>
      </c>
      <c r="X24" s="7" t="str">
        <f t="shared" si="11"/>
        <v>V</v>
      </c>
      <c r="Y24" s="10" t="str">
        <f>IF(W24&lt;&gt;"",IFERROR(INDEX(TJoursFeries[Jour férié],MATCH(W24,TJoursFeries[A afficher],0)),IF(AfficherNoSemaine="Oui",IF(UPPER(LEFT(TEXT(W24+1,"jjjj"),1))="J",TEXT(_xlfn.ISOWEEKNUM(W24),"00"),""),"")),"")</f>
        <v/>
      </c>
      <c r="Z24" s="6">
        <f t="shared" si="28"/>
        <v>44823</v>
      </c>
      <c r="AA24" s="7" t="str">
        <f t="shared" si="13"/>
        <v>L</v>
      </c>
      <c r="AB24" s="10" t="str">
        <f>IF(Z24&lt;&gt;"",IFERROR(INDEX(TJoursFeries[Jour férié],MATCH(Z24,TJoursFeries[A afficher],0)),IF(AfficherNoSemaine="Oui",IF(UPPER(LEFT(TEXT(Z24+1,"jjjj"),1))="J",TEXT(_xlfn.ISOWEEKNUM(Z24),"00"),""),"")),"")</f>
        <v/>
      </c>
      <c r="AC24" s="6">
        <f t="shared" si="29"/>
        <v>44853</v>
      </c>
      <c r="AD24" s="7" t="str">
        <f t="shared" si="15"/>
        <v>M</v>
      </c>
      <c r="AE24" s="10" t="str">
        <f>IF(AC24&lt;&gt;"",IFERROR(INDEX(TJoursFeries[Jour férié],MATCH(AC24,TJoursFeries[A afficher],0)),IF(AfficherNoSemaine="Oui",IF(UPPER(LEFT(TEXT(AC24+1,"jjjj"),1))="J",TEXT(_xlfn.ISOWEEKNUM(AC24),"00"),""),"")),"")</f>
        <v>42</v>
      </c>
      <c r="AF24" s="6">
        <f t="shared" si="30"/>
        <v>44884</v>
      </c>
      <c r="AG24" s="7" t="str">
        <f t="shared" si="17"/>
        <v>S</v>
      </c>
      <c r="AH24" s="10" t="str">
        <f>IF(AF24&lt;&gt;"",IFERROR(INDEX(TJoursFeries[Jour férié],MATCH(AF24,TJoursFeries[A afficher],0)),IF(AfficherNoSemaine="Oui",IF(UPPER(LEFT(TEXT(AF24+1,"jjjj"),1))="J",TEXT(_xlfn.ISOWEEKNUM(AF24),"00"),""),"")),"")</f>
        <v/>
      </c>
      <c r="AI24" s="6">
        <f t="shared" si="31"/>
        <v>44914</v>
      </c>
      <c r="AJ24" s="7" t="str">
        <f t="shared" si="19"/>
        <v>L</v>
      </c>
      <c r="AK24" s="10" t="str">
        <f>IF(AI24&lt;&gt;"",IFERROR(INDEX(TJoursFeries[Jour férié],MATCH(AI24,TJoursFeries[A afficher],0)),IF(AfficherNoSemaine="Oui",IF(UPPER(LEFT(TEXT(AI24+1,"jjjj"),1))="J",TEXT(_xlfn.ISOWEEKNUM(AI24),"00"),""),"")),"")</f>
        <v/>
      </c>
    </row>
    <row r="25" spans="2:40" s="4" customFormat="1" ht="30" customHeight="1" x14ac:dyDescent="0.2">
      <c r="B25" s="6">
        <f t="shared" si="32"/>
        <v>44581</v>
      </c>
      <c r="C25" s="7" t="str">
        <f t="shared" si="20"/>
        <v>J</v>
      </c>
      <c r="D25" s="10" t="str">
        <f>IF(B25&lt;&gt;"",IFERROR(INDEX(TJoursFeries[Jour férié],MATCH(B25,TJoursFeries[A afficher],0)),IF(AfficherNoSemaine="Oui",IF(UPPER(LEFT(TEXT(B25+1,"jjjj"),1))="J",TEXT(_xlfn.ISOWEEKNUM(B25),"00"),""),"")),"")</f>
        <v/>
      </c>
      <c r="E25" s="6">
        <f t="shared" si="33"/>
        <v>44612</v>
      </c>
      <c r="F25" s="7" t="str">
        <f t="shared" si="21"/>
        <v>D</v>
      </c>
      <c r="G25" s="10" t="str">
        <f>IF(E25&lt;&gt;"",IFERROR(INDEX(TJoursFeries[Jour férié],MATCH(E25,TJoursFeries[A afficher],0)),IF(AfficherNoSemaine="Oui",IF(UPPER(LEFT(TEXT(E25+1,"jjjj"),1))="J",TEXT(_xlfn.ISOWEEKNUM(E25),"00"),""),"")),"")</f>
        <v/>
      </c>
      <c r="H25" s="6">
        <f t="shared" si="22"/>
        <v>44640</v>
      </c>
      <c r="I25" s="7" t="str">
        <f t="shared" si="34"/>
        <v>D</v>
      </c>
      <c r="J25" s="10" t="str">
        <f>IF(H25&lt;&gt;"",IFERROR(INDEX(TJoursFeries[Jour férié],MATCH(H25,TJoursFeries[A afficher],0)),IF(AfficherNoSemaine="Oui",IF(UPPER(LEFT(TEXT(H25+1,"jjjj"),1))="J",TEXT(_xlfn.ISOWEEKNUM(H25),"00"),""),"")),"")</f>
        <v/>
      </c>
      <c r="K25" s="6">
        <f t="shared" si="23"/>
        <v>44671</v>
      </c>
      <c r="L25" s="7" t="str">
        <f t="shared" si="34"/>
        <v>M</v>
      </c>
      <c r="M25" s="10" t="str">
        <f>IF(K25&lt;&gt;"",IFERROR(INDEX(TJoursFeries[Jour férié],MATCH(K25,TJoursFeries[A afficher],0)),IF(AfficherNoSemaine="Oui",IF(UPPER(LEFT(TEXT(K25+1,"jjjj"),1))="J",TEXT(_xlfn.ISOWEEKNUM(K25),"00"),""),"")),"")</f>
        <v>16</v>
      </c>
      <c r="N25" s="6">
        <f t="shared" si="24"/>
        <v>44701</v>
      </c>
      <c r="O25" s="7" t="str">
        <f t="shared" si="34"/>
        <v>V</v>
      </c>
      <c r="P25" s="10" t="str">
        <f>IF(N25&lt;&gt;"",IFERROR(INDEX(TJoursFeries[Jour férié],MATCH(N25,TJoursFeries[A afficher],0)),IF(AfficherNoSemaine="Oui",IF(UPPER(LEFT(TEXT(N25+1,"jjjj"),1))="J",TEXT(_xlfn.ISOWEEKNUM(N25),"00"),""),"")),"")</f>
        <v/>
      </c>
      <c r="Q25" s="6">
        <f t="shared" si="25"/>
        <v>44732</v>
      </c>
      <c r="R25" s="7" t="str">
        <f t="shared" si="34"/>
        <v>L</v>
      </c>
      <c r="S25" s="10" t="str">
        <f>IF(Q25&lt;&gt;"",IFERROR(INDEX(TJoursFeries[Jour férié],MATCH(Q25,TJoursFeries[A afficher],0)),IF(AfficherNoSemaine="Oui",IF(UPPER(LEFT(TEXT(Q25+1,"jjjj"),1))="J",TEXT(_xlfn.ISOWEEKNUM(Q25),"00"),""),"")),"")</f>
        <v/>
      </c>
      <c r="T25" s="6">
        <f t="shared" si="26"/>
        <v>44762</v>
      </c>
      <c r="U25" s="7" t="str">
        <f t="shared" si="9"/>
        <v>M</v>
      </c>
      <c r="V25" s="10" t="str">
        <f>IF(T25&lt;&gt;"",IFERROR(INDEX(TJoursFeries[Jour férié],MATCH(T25,TJoursFeries[A afficher],0)),IF(AfficherNoSemaine="Oui",IF(UPPER(LEFT(TEXT(T25+1,"jjjj"),1))="J",TEXT(_xlfn.ISOWEEKNUM(T25),"00"),""),"")),"")</f>
        <v>29</v>
      </c>
      <c r="W25" s="6">
        <f t="shared" si="27"/>
        <v>44793</v>
      </c>
      <c r="X25" s="7" t="str">
        <f t="shared" si="11"/>
        <v>S</v>
      </c>
      <c r="Y25" s="10" t="str">
        <f>IF(W25&lt;&gt;"",IFERROR(INDEX(TJoursFeries[Jour férié],MATCH(W25,TJoursFeries[A afficher],0)),IF(AfficherNoSemaine="Oui",IF(UPPER(LEFT(TEXT(W25+1,"jjjj"),1))="J",TEXT(_xlfn.ISOWEEKNUM(W25),"00"),""),"")),"")</f>
        <v/>
      </c>
      <c r="Z25" s="6">
        <f t="shared" si="28"/>
        <v>44824</v>
      </c>
      <c r="AA25" s="7" t="str">
        <f t="shared" si="13"/>
        <v>M</v>
      </c>
      <c r="AB25" s="10" t="str">
        <f>IF(Z25&lt;&gt;"",IFERROR(INDEX(TJoursFeries[Jour férié],MATCH(Z25,TJoursFeries[A afficher],0)),IF(AfficherNoSemaine="Oui",IF(UPPER(LEFT(TEXT(Z25+1,"jjjj"),1))="J",TEXT(_xlfn.ISOWEEKNUM(Z25),"00"),""),"")),"")</f>
        <v/>
      </c>
      <c r="AC25" s="6">
        <f t="shared" si="29"/>
        <v>44854</v>
      </c>
      <c r="AD25" s="7" t="str">
        <f t="shared" si="15"/>
        <v>J</v>
      </c>
      <c r="AE25" s="10" t="str">
        <f>IF(AC25&lt;&gt;"",IFERROR(INDEX(TJoursFeries[Jour férié],MATCH(AC25,TJoursFeries[A afficher],0)),IF(AfficherNoSemaine="Oui",IF(UPPER(LEFT(TEXT(AC25+1,"jjjj"),1))="J",TEXT(_xlfn.ISOWEEKNUM(AC25),"00"),""),"")),"")</f>
        <v/>
      </c>
      <c r="AF25" s="6">
        <f t="shared" si="30"/>
        <v>44885</v>
      </c>
      <c r="AG25" s="7" t="str">
        <f t="shared" si="17"/>
        <v>D</v>
      </c>
      <c r="AH25" s="10" t="str">
        <f>IF(AF25&lt;&gt;"",IFERROR(INDEX(TJoursFeries[Jour férié],MATCH(AF25,TJoursFeries[A afficher],0)),IF(AfficherNoSemaine="Oui",IF(UPPER(LEFT(TEXT(AF25+1,"jjjj"),1))="J",TEXT(_xlfn.ISOWEEKNUM(AF25),"00"),""),"")),"")</f>
        <v/>
      </c>
      <c r="AI25" s="6">
        <f t="shared" si="31"/>
        <v>44915</v>
      </c>
      <c r="AJ25" s="7" t="str">
        <f t="shared" si="19"/>
        <v>M</v>
      </c>
      <c r="AK25" s="10" t="str">
        <f>IF(AI25&lt;&gt;"",IFERROR(INDEX(TJoursFeries[Jour férié],MATCH(AI25,TJoursFeries[A afficher],0)),IF(AfficherNoSemaine="Oui",IF(UPPER(LEFT(TEXT(AI25+1,"jjjj"),1))="J",TEXT(_xlfn.ISOWEEKNUM(AI25),"00"),""),"")),"")</f>
        <v/>
      </c>
    </row>
    <row r="26" spans="2:40" s="4" customFormat="1" ht="30" customHeight="1" x14ac:dyDescent="0.2">
      <c r="B26" s="6">
        <f t="shared" si="32"/>
        <v>44582</v>
      </c>
      <c r="C26" s="7" t="str">
        <f t="shared" si="20"/>
        <v>V</v>
      </c>
      <c r="D26" s="10" t="str">
        <f>IF(B26&lt;&gt;"",IFERROR(INDEX(TJoursFeries[Jour férié],MATCH(B26,TJoursFeries[A afficher],0)),IF(AfficherNoSemaine="Oui",IF(UPPER(LEFT(TEXT(B26+1,"jjjj"),1))="J",TEXT(_xlfn.ISOWEEKNUM(B26),"00"),""),"")),"")</f>
        <v/>
      </c>
      <c r="E26" s="6">
        <f t="shared" si="33"/>
        <v>44613</v>
      </c>
      <c r="F26" s="7" t="str">
        <f t="shared" si="21"/>
        <v>L</v>
      </c>
      <c r="G26" s="10" t="str">
        <f>IF(E26&lt;&gt;"",IFERROR(INDEX(TJoursFeries[Jour férié],MATCH(E26,TJoursFeries[A afficher],0)),IF(AfficherNoSemaine="Oui",IF(UPPER(LEFT(TEXT(E26+1,"jjjj"),1))="J",TEXT(_xlfn.ISOWEEKNUM(E26),"00"),""),"")),"")</f>
        <v/>
      </c>
      <c r="H26" s="6">
        <f t="shared" si="22"/>
        <v>44641</v>
      </c>
      <c r="I26" s="7" t="str">
        <f t="shared" si="34"/>
        <v>L</v>
      </c>
      <c r="J26" s="10" t="str">
        <f>IF(H26&lt;&gt;"",IFERROR(INDEX(TJoursFeries[Jour férié],MATCH(H26,TJoursFeries[A afficher],0)),IF(AfficherNoSemaine="Oui",IF(UPPER(LEFT(TEXT(H26+1,"jjjj"),1))="J",TEXT(_xlfn.ISOWEEKNUM(H26),"00"),""),"")),"")</f>
        <v/>
      </c>
      <c r="K26" s="6">
        <f t="shared" si="23"/>
        <v>44672</v>
      </c>
      <c r="L26" s="7" t="str">
        <f t="shared" si="34"/>
        <v>J</v>
      </c>
      <c r="M26" s="10" t="str">
        <f>IF(K26&lt;&gt;"",IFERROR(INDEX(TJoursFeries[Jour férié],MATCH(K26,TJoursFeries[A afficher],0)),IF(AfficherNoSemaine="Oui",IF(UPPER(LEFT(TEXT(K26+1,"jjjj"),1))="J",TEXT(_xlfn.ISOWEEKNUM(K26),"00"),""),"")),"")</f>
        <v/>
      </c>
      <c r="N26" s="6">
        <f t="shared" si="24"/>
        <v>44702</v>
      </c>
      <c r="O26" s="7" t="str">
        <f t="shared" si="34"/>
        <v>S</v>
      </c>
      <c r="P26" s="10" t="str">
        <f>IF(N26&lt;&gt;"",IFERROR(INDEX(TJoursFeries[Jour férié],MATCH(N26,TJoursFeries[A afficher],0)),IF(AfficherNoSemaine="Oui",IF(UPPER(LEFT(TEXT(N26+1,"jjjj"),1))="J",TEXT(_xlfn.ISOWEEKNUM(N26),"00"),""),"")),"")</f>
        <v/>
      </c>
      <c r="Q26" s="6">
        <f t="shared" si="25"/>
        <v>44733</v>
      </c>
      <c r="R26" s="7" t="str">
        <f t="shared" si="34"/>
        <v>M</v>
      </c>
      <c r="S26" s="10" t="str">
        <f>IF(Q26&lt;&gt;"",IFERROR(INDEX(TJoursFeries[Jour férié],MATCH(Q26,TJoursFeries[A afficher],0)),IF(AfficherNoSemaine="Oui",IF(UPPER(LEFT(TEXT(Q26+1,"jjjj"),1))="J",TEXT(_xlfn.ISOWEEKNUM(Q26),"00"),""),"")),"")</f>
        <v/>
      </c>
      <c r="T26" s="6">
        <f t="shared" si="26"/>
        <v>44763</v>
      </c>
      <c r="U26" s="7" t="str">
        <f t="shared" si="9"/>
        <v>J</v>
      </c>
      <c r="V26" s="10" t="str">
        <f>IF(T26&lt;&gt;"",IFERROR(INDEX(TJoursFeries[Jour férié],MATCH(T26,TJoursFeries[A afficher],0)),IF(AfficherNoSemaine="Oui",IF(UPPER(LEFT(TEXT(T26+1,"jjjj"),1))="J",TEXT(_xlfn.ISOWEEKNUM(T26),"00"),""),"")),"")</f>
        <v/>
      </c>
      <c r="W26" s="6">
        <f t="shared" si="27"/>
        <v>44794</v>
      </c>
      <c r="X26" s="7" t="str">
        <f t="shared" si="11"/>
        <v>D</v>
      </c>
      <c r="Y26" s="10" t="str">
        <f>IF(W26&lt;&gt;"",IFERROR(INDEX(TJoursFeries[Jour férié],MATCH(W26,TJoursFeries[A afficher],0)),IF(AfficherNoSemaine="Oui",IF(UPPER(LEFT(TEXT(W26+1,"jjjj"),1))="J",TEXT(_xlfn.ISOWEEKNUM(W26),"00"),""),"")),"")</f>
        <v/>
      </c>
      <c r="Z26" s="6">
        <f t="shared" si="28"/>
        <v>44825</v>
      </c>
      <c r="AA26" s="7" t="str">
        <f t="shared" si="13"/>
        <v>M</v>
      </c>
      <c r="AB26" s="10" t="str">
        <f>IF(Z26&lt;&gt;"",IFERROR(INDEX(TJoursFeries[Jour férié],MATCH(Z26,TJoursFeries[A afficher],0)),IF(AfficherNoSemaine="Oui",IF(UPPER(LEFT(TEXT(Z26+1,"jjjj"),1))="J",TEXT(_xlfn.ISOWEEKNUM(Z26),"00"),""),"")),"")</f>
        <v>38</v>
      </c>
      <c r="AC26" s="6">
        <f t="shared" si="29"/>
        <v>44855</v>
      </c>
      <c r="AD26" s="7" t="str">
        <f t="shared" si="15"/>
        <v>V</v>
      </c>
      <c r="AE26" s="10" t="str">
        <f>IF(AC26&lt;&gt;"",IFERROR(INDEX(TJoursFeries[Jour férié],MATCH(AC26,TJoursFeries[A afficher],0)),IF(AfficherNoSemaine="Oui",IF(UPPER(LEFT(TEXT(AC26+1,"jjjj"),1))="J",TEXT(_xlfn.ISOWEEKNUM(AC26),"00"),""),"")),"")</f>
        <v/>
      </c>
      <c r="AF26" s="6">
        <f t="shared" si="30"/>
        <v>44886</v>
      </c>
      <c r="AG26" s="7" t="str">
        <f t="shared" si="17"/>
        <v>L</v>
      </c>
      <c r="AH26" s="10" t="str">
        <f>IF(AF26&lt;&gt;"",IFERROR(INDEX(TJoursFeries[Jour férié],MATCH(AF26,TJoursFeries[A afficher],0)),IF(AfficherNoSemaine="Oui",IF(UPPER(LEFT(TEXT(AF26+1,"jjjj"),1))="J",TEXT(_xlfn.ISOWEEKNUM(AF26),"00"),""),"")),"")</f>
        <v/>
      </c>
      <c r="AI26" s="6">
        <f t="shared" si="31"/>
        <v>44916</v>
      </c>
      <c r="AJ26" s="7" t="str">
        <f t="shared" si="19"/>
        <v>M</v>
      </c>
      <c r="AK26" s="10" t="str">
        <f>IF(AI26&lt;&gt;"",IFERROR(INDEX(TJoursFeries[Jour férié],MATCH(AI26,TJoursFeries[A afficher],0)),IF(AfficherNoSemaine="Oui",IF(UPPER(LEFT(TEXT(AI26+1,"jjjj"),1))="J",TEXT(_xlfn.ISOWEEKNUM(AI26),"00"),""),"")),"")</f>
        <v>51</v>
      </c>
    </row>
    <row r="27" spans="2:40" s="4" customFormat="1" ht="30" customHeight="1" x14ac:dyDescent="0.2">
      <c r="B27" s="6">
        <f t="shared" si="32"/>
        <v>44583</v>
      </c>
      <c r="C27" s="7" t="str">
        <f t="shared" si="20"/>
        <v>S</v>
      </c>
      <c r="D27" s="10" t="str">
        <f>IF(B27&lt;&gt;"",IFERROR(INDEX(TJoursFeries[Jour férié],MATCH(B27,TJoursFeries[A afficher],0)),IF(AfficherNoSemaine="Oui",IF(UPPER(LEFT(TEXT(B27+1,"jjjj"),1))="J",TEXT(_xlfn.ISOWEEKNUM(B27),"00"),""),"")),"")</f>
        <v/>
      </c>
      <c r="E27" s="6">
        <f t="shared" si="33"/>
        <v>44614</v>
      </c>
      <c r="F27" s="7" t="str">
        <f t="shared" si="21"/>
        <v>M</v>
      </c>
      <c r="G27" s="10" t="str">
        <f>IF(E27&lt;&gt;"",IFERROR(INDEX(TJoursFeries[Jour férié],MATCH(E27,TJoursFeries[A afficher],0)),IF(AfficherNoSemaine="Oui",IF(UPPER(LEFT(TEXT(E27+1,"jjjj"),1))="J",TEXT(_xlfn.ISOWEEKNUM(E27),"00"),""),"")),"")</f>
        <v/>
      </c>
      <c r="H27" s="6">
        <f t="shared" si="22"/>
        <v>44642</v>
      </c>
      <c r="I27" s="7" t="str">
        <f t="shared" si="34"/>
        <v>M</v>
      </c>
      <c r="J27" s="10" t="str">
        <f>IF(H27&lt;&gt;"",IFERROR(INDEX(TJoursFeries[Jour férié],MATCH(H27,TJoursFeries[A afficher],0)),IF(AfficherNoSemaine="Oui",IF(UPPER(LEFT(TEXT(H27+1,"jjjj"),1))="J",TEXT(_xlfn.ISOWEEKNUM(H27),"00"),""),"")),"")</f>
        <v/>
      </c>
      <c r="K27" s="6">
        <f t="shared" si="23"/>
        <v>44673</v>
      </c>
      <c r="L27" s="7" t="str">
        <f t="shared" si="34"/>
        <v>V</v>
      </c>
      <c r="M27" s="10" t="str">
        <f>IF(K27&lt;&gt;"",IFERROR(INDEX(TJoursFeries[Jour férié],MATCH(K27,TJoursFeries[A afficher],0)),IF(AfficherNoSemaine="Oui",IF(UPPER(LEFT(TEXT(K27+1,"jjjj"),1))="J",TEXT(_xlfn.ISOWEEKNUM(K27),"00"),""),"")),"")</f>
        <v/>
      </c>
      <c r="N27" s="6">
        <f t="shared" si="24"/>
        <v>44703</v>
      </c>
      <c r="O27" s="7" t="str">
        <f t="shared" si="34"/>
        <v>D</v>
      </c>
      <c r="P27" s="10" t="str">
        <f>IF(N27&lt;&gt;"",IFERROR(INDEX(TJoursFeries[Jour férié],MATCH(N27,TJoursFeries[A afficher],0)),IF(AfficherNoSemaine="Oui",IF(UPPER(LEFT(TEXT(N27+1,"jjjj"),1))="J",TEXT(_xlfn.ISOWEEKNUM(N27),"00"),""),"")),"")</f>
        <v/>
      </c>
      <c r="Q27" s="6">
        <f t="shared" si="25"/>
        <v>44734</v>
      </c>
      <c r="R27" s="7" t="str">
        <f t="shared" si="34"/>
        <v>M</v>
      </c>
      <c r="S27" s="10" t="str">
        <f>IF(Q27&lt;&gt;"",IFERROR(INDEX(TJoursFeries[Jour férié],MATCH(Q27,TJoursFeries[A afficher],0)),IF(AfficherNoSemaine="Oui",IF(UPPER(LEFT(TEXT(Q27+1,"jjjj"),1))="J",TEXT(_xlfn.ISOWEEKNUM(Q27),"00"),""),"")),"")</f>
        <v>25</v>
      </c>
      <c r="T27" s="6">
        <f t="shared" si="26"/>
        <v>44764</v>
      </c>
      <c r="U27" s="7" t="str">
        <f t="shared" si="9"/>
        <v>V</v>
      </c>
      <c r="V27" s="10" t="str">
        <f>IF(T27&lt;&gt;"",IFERROR(INDEX(TJoursFeries[Jour férié],MATCH(T27,TJoursFeries[A afficher],0)),IF(AfficherNoSemaine="Oui",IF(UPPER(LEFT(TEXT(T27+1,"jjjj"),1))="J",TEXT(_xlfn.ISOWEEKNUM(T27),"00"),""),"")),"")</f>
        <v/>
      </c>
      <c r="W27" s="6">
        <f t="shared" si="27"/>
        <v>44795</v>
      </c>
      <c r="X27" s="7" t="str">
        <f t="shared" si="11"/>
        <v>L</v>
      </c>
      <c r="Y27" s="10" t="str">
        <f>IF(W27&lt;&gt;"",IFERROR(INDEX(TJoursFeries[Jour férié],MATCH(W27,TJoursFeries[A afficher],0)),IF(AfficherNoSemaine="Oui",IF(UPPER(LEFT(TEXT(W27+1,"jjjj"),1))="J",TEXT(_xlfn.ISOWEEKNUM(W27),"00"),""),"")),"")</f>
        <v/>
      </c>
      <c r="Z27" s="6">
        <f t="shared" si="28"/>
        <v>44826</v>
      </c>
      <c r="AA27" s="7" t="str">
        <f t="shared" si="13"/>
        <v>J</v>
      </c>
      <c r="AB27" s="10" t="str">
        <f>IF(Z27&lt;&gt;"",IFERROR(INDEX(TJoursFeries[Jour férié],MATCH(Z27,TJoursFeries[A afficher],0)),IF(AfficherNoSemaine="Oui",IF(UPPER(LEFT(TEXT(Z27+1,"jjjj"),1))="J",TEXT(_xlfn.ISOWEEKNUM(Z27),"00"),""),"")),"")</f>
        <v/>
      </c>
      <c r="AC27" s="6">
        <f t="shared" si="29"/>
        <v>44856</v>
      </c>
      <c r="AD27" s="7" t="str">
        <f t="shared" si="15"/>
        <v>S</v>
      </c>
      <c r="AE27" s="10" t="str">
        <f>IF(AC27&lt;&gt;"",IFERROR(INDEX(TJoursFeries[Jour férié],MATCH(AC27,TJoursFeries[A afficher],0)),IF(AfficherNoSemaine="Oui",IF(UPPER(LEFT(TEXT(AC27+1,"jjjj"),1))="J",TEXT(_xlfn.ISOWEEKNUM(AC27),"00"),""),"")),"")</f>
        <v/>
      </c>
      <c r="AF27" s="6">
        <f t="shared" si="30"/>
        <v>44887</v>
      </c>
      <c r="AG27" s="7" t="str">
        <f t="shared" si="17"/>
        <v>M</v>
      </c>
      <c r="AH27" s="10" t="str">
        <f>IF(AF27&lt;&gt;"",IFERROR(INDEX(TJoursFeries[Jour férié],MATCH(AF27,TJoursFeries[A afficher],0)),IF(AfficherNoSemaine="Oui",IF(UPPER(LEFT(TEXT(AF27+1,"jjjj"),1))="J",TEXT(_xlfn.ISOWEEKNUM(AF27),"00"),""),"")),"")</f>
        <v/>
      </c>
      <c r="AI27" s="6">
        <f t="shared" si="31"/>
        <v>44917</v>
      </c>
      <c r="AJ27" s="7" t="str">
        <f t="shared" si="19"/>
        <v>J</v>
      </c>
      <c r="AK27" s="10" t="str">
        <f>IF(AI27&lt;&gt;"",IFERROR(INDEX(TJoursFeries[Jour férié],MATCH(AI27,TJoursFeries[A afficher],0)),IF(AfficherNoSemaine="Oui",IF(UPPER(LEFT(TEXT(AI27+1,"jjjj"),1))="J",TEXT(_xlfn.ISOWEEKNUM(AI27),"00"),""),"")),"")</f>
        <v/>
      </c>
    </row>
    <row r="28" spans="2:40" s="4" customFormat="1" ht="30" customHeight="1" x14ac:dyDescent="0.2">
      <c r="B28" s="6">
        <f t="shared" si="32"/>
        <v>44584</v>
      </c>
      <c r="C28" s="7" t="str">
        <f t="shared" si="20"/>
        <v>D</v>
      </c>
      <c r="D28" s="10" t="str">
        <f>IF(B28&lt;&gt;"",IFERROR(INDEX(TJoursFeries[Jour férié],MATCH(B28,TJoursFeries[A afficher],0)),IF(AfficherNoSemaine="Oui",IF(UPPER(LEFT(TEXT(B28+1,"jjjj"),1))="J",TEXT(_xlfn.ISOWEEKNUM(B28),"00"),""),"")),"")</f>
        <v/>
      </c>
      <c r="E28" s="6">
        <f t="shared" si="33"/>
        <v>44615</v>
      </c>
      <c r="F28" s="7" t="str">
        <f t="shared" si="21"/>
        <v>M</v>
      </c>
      <c r="G28" s="10" t="str">
        <f>IF(E28&lt;&gt;"",IFERROR(INDEX(TJoursFeries[Jour férié],MATCH(E28,TJoursFeries[A afficher],0)),IF(AfficherNoSemaine="Oui",IF(UPPER(LEFT(TEXT(E28+1,"jjjj"),1))="J",TEXT(_xlfn.ISOWEEKNUM(E28),"00"),""),"")),"")</f>
        <v>08</v>
      </c>
      <c r="H28" s="6">
        <f t="shared" si="22"/>
        <v>44643</v>
      </c>
      <c r="I28" s="7" t="str">
        <f t="shared" si="34"/>
        <v>M</v>
      </c>
      <c r="J28" s="10" t="str">
        <f>IF(H28&lt;&gt;"",IFERROR(INDEX(TJoursFeries[Jour férié],MATCH(H28,TJoursFeries[A afficher],0)),IF(AfficherNoSemaine="Oui",IF(UPPER(LEFT(TEXT(H28+1,"jjjj"),1))="J",TEXT(_xlfn.ISOWEEKNUM(H28),"00"),""),"")),"")</f>
        <v>12</v>
      </c>
      <c r="K28" s="6">
        <f t="shared" si="23"/>
        <v>44674</v>
      </c>
      <c r="L28" s="7" t="str">
        <f t="shared" si="34"/>
        <v>S</v>
      </c>
      <c r="M28" s="10" t="str">
        <f>IF(K28&lt;&gt;"",IFERROR(INDEX(TJoursFeries[Jour férié],MATCH(K28,TJoursFeries[A afficher],0)),IF(AfficherNoSemaine="Oui",IF(UPPER(LEFT(TEXT(K28+1,"jjjj"),1))="J",TEXT(_xlfn.ISOWEEKNUM(K28),"00"),""),"")),"")</f>
        <v/>
      </c>
      <c r="N28" s="6">
        <f t="shared" si="24"/>
        <v>44704</v>
      </c>
      <c r="O28" s="7" t="str">
        <f t="shared" si="34"/>
        <v>L</v>
      </c>
      <c r="P28" s="10" t="str">
        <f>IF(N28&lt;&gt;"",IFERROR(INDEX(TJoursFeries[Jour férié],MATCH(N28,TJoursFeries[A afficher],0)),IF(AfficherNoSemaine="Oui",IF(UPPER(LEFT(TEXT(N28+1,"jjjj"),1))="J",TEXT(_xlfn.ISOWEEKNUM(N28),"00"),""),"")),"")</f>
        <v/>
      </c>
      <c r="Q28" s="6">
        <f t="shared" si="25"/>
        <v>44735</v>
      </c>
      <c r="R28" s="7" t="str">
        <f t="shared" si="34"/>
        <v>J</v>
      </c>
      <c r="S28" s="10" t="str">
        <f>IF(Q28&lt;&gt;"",IFERROR(INDEX(TJoursFeries[Jour férié],MATCH(Q28,TJoursFeries[A afficher],0)),IF(AfficherNoSemaine="Oui",IF(UPPER(LEFT(TEXT(Q28+1,"jjjj"),1))="J",TEXT(_xlfn.ISOWEEKNUM(Q28),"00"),""),"")),"")</f>
        <v/>
      </c>
      <c r="T28" s="6">
        <f t="shared" si="26"/>
        <v>44765</v>
      </c>
      <c r="U28" s="7" t="str">
        <f t="shared" si="9"/>
        <v>S</v>
      </c>
      <c r="V28" s="10" t="str">
        <f>IF(T28&lt;&gt;"",IFERROR(INDEX(TJoursFeries[Jour férié],MATCH(T28,TJoursFeries[A afficher],0)),IF(AfficherNoSemaine="Oui",IF(UPPER(LEFT(TEXT(T28+1,"jjjj"),1))="J",TEXT(_xlfn.ISOWEEKNUM(T28),"00"),""),"")),"")</f>
        <v/>
      </c>
      <c r="W28" s="6">
        <f t="shared" si="27"/>
        <v>44796</v>
      </c>
      <c r="X28" s="7" t="str">
        <f t="shared" si="11"/>
        <v>M</v>
      </c>
      <c r="Y28" s="10" t="str">
        <f>IF(W28&lt;&gt;"",IFERROR(INDEX(TJoursFeries[Jour férié],MATCH(W28,TJoursFeries[A afficher],0)),IF(AfficherNoSemaine="Oui",IF(UPPER(LEFT(TEXT(W28+1,"jjjj"),1))="J",TEXT(_xlfn.ISOWEEKNUM(W28),"00"),""),"")),"")</f>
        <v/>
      </c>
      <c r="Z28" s="6">
        <f t="shared" si="28"/>
        <v>44827</v>
      </c>
      <c r="AA28" s="7" t="str">
        <f t="shared" si="13"/>
        <v>V</v>
      </c>
      <c r="AB28" s="10" t="str">
        <f>IF(Z28&lt;&gt;"",IFERROR(INDEX(TJoursFeries[Jour férié],MATCH(Z28,TJoursFeries[A afficher],0)),IF(AfficherNoSemaine="Oui",IF(UPPER(LEFT(TEXT(Z28+1,"jjjj"),1))="J",TEXT(_xlfn.ISOWEEKNUM(Z28),"00"),""),"")),"")</f>
        <v/>
      </c>
      <c r="AC28" s="6">
        <f t="shared" si="29"/>
        <v>44857</v>
      </c>
      <c r="AD28" s="7" t="str">
        <f t="shared" si="15"/>
        <v>D</v>
      </c>
      <c r="AE28" s="10" t="str">
        <f>IF(AC28&lt;&gt;"",IFERROR(INDEX(TJoursFeries[Jour férié],MATCH(AC28,TJoursFeries[A afficher],0)),IF(AfficherNoSemaine="Oui",IF(UPPER(LEFT(TEXT(AC28+1,"jjjj"),1))="J",TEXT(_xlfn.ISOWEEKNUM(AC28),"00"),""),"")),"")</f>
        <v/>
      </c>
      <c r="AF28" s="6">
        <f t="shared" si="30"/>
        <v>44888</v>
      </c>
      <c r="AG28" s="7" t="str">
        <f t="shared" si="17"/>
        <v>M</v>
      </c>
      <c r="AH28" s="10" t="str">
        <f>IF(AF28&lt;&gt;"",IFERROR(INDEX(TJoursFeries[Jour férié],MATCH(AF28,TJoursFeries[A afficher],0)),IF(AfficherNoSemaine="Oui",IF(UPPER(LEFT(TEXT(AF28+1,"jjjj"),1))="J",TEXT(_xlfn.ISOWEEKNUM(AF28),"00"),""),"")),"")</f>
        <v>47</v>
      </c>
      <c r="AI28" s="6">
        <f t="shared" si="31"/>
        <v>44918</v>
      </c>
      <c r="AJ28" s="7" t="str">
        <f t="shared" si="19"/>
        <v>V</v>
      </c>
      <c r="AK28" s="10" t="str">
        <f>IF(AI28&lt;&gt;"",IFERROR(INDEX(TJoursFeries[Jour férié],MATCH(AI28,TJoursFeries[A afficher],0)),IF(AfficherNoSemaine="Oui",IF(UPPER(LEFT(TEXT(AI28+1,"jjjj"),1))="J",TEXT(_xlfn.ISOWEEKNUM(AI28),"00"),""),"")),"")</f>
        <v/>
      </c>
    </row>
    <row r="29" spans="2:40" s="4" customFormat="1" ht="30" customHeight="1" x14ac:dyDescent="0.2">
      <c r="B29" s="6">
        <f t="shared" si="32"/>
        <v>44585</v>
      </c>
      <c r="C29" s="7" t="str">
        <f t="shared" si="20"/>
        <v>L</v>
      </c>
      <c r="D29" s="10" t="str">
        <f>IF(B29&lt;&gt;"",IFERROR(INDEX(TJoursFeries[Jour férié],MATCH(B29,TJoursFeries[A afficher],0)),IF(AfficherNoSemaine="Oui",IF(UPPER(LEFT(TEXT(B29+1,"jjjj"),1))="J",TEXT(_xlfn.ISOWEEKNUM(B29),"00"),""),"")),"")</f>
        <v/>
      </c>
      <c r="E29" s="6">
        <f t="shared" si="33"/>
        <v>44616</v>
      </c>
      <c r="F29" s="7" t="str">
        <f t="shared" si="21"/>
        <v>J</v>
      </c>
      <c r="G29" s="10" t="str">
        <f>IF(E29&lt;&gt;"",IFERROR(INDEX(TJoursFeries[Jour férié],MATCH(E29,TJoursFeries[A afficher],0)),IF(AfficherNoSemaine="Oui",IF(UPPER(LEFT(TEXT(E29+1,"jjjj"),1))="J",TEXT(_xlfn.ISOWEEKNUM(E29),"00"),""),"")),"")</f>
        <v/>
      </c>
      <c r="H29" s="6">
        <f t="shared" si="22"/>
        <v>44644</v>
      </c>
      <c r="I29" s="7" t="str">
        <f t="shared" si="34"/>
        <v>J</v>
      </c>
      <c r="J29" s="10" t="str">
        <f>IF(H29&lt;&gt;"",IFERROR(INDEX(TJoursFeries[Jour férié],MATCH(H29,TJoursFeries[A afficher],0)),IF(AfficherNoSemaine="Oui",IF(UPPER(LEFT(TEXT(H29+1,"jjjj"),1))="J",TEXT(_xlfn.ISOWEEKNUM(H29),"00"),""),"")),"")</f>
        <v/>
      </c>
      <c r="K29" s="6">
        <f t="shared" si="23"/>
        <v>44675</v>
      </c>
      <c r="L29" s="7" t="str">
        <f t="shared" si="34"/>
        <v>D</v>
      </c>
      <c r="M29" s="10" t="str">
        <f>IF(K29&lt;&gt;"",IFERROR(INDEX(TJoursFeries[Jour férié],MATCH(K29,TJoursFeries[A afficher],0)),IF(AfficherNoSemaine="Oui",IF(UPPER(LEFT(TEXT(K29+1,"jjjj"),1))="J",TEXT(_xlfn.ISOWEEKNUM(K29),"00"),""),"")),"")</f>
        <v/>
      </c>
      <c r="N29" s="6">
        <f t="shared" si="24"/>
        <v>44705</v>
      </c>
      <c r="O29" s="7" t="str">
        <f t="shared" si="34"/>
        <v>M</v>
      </c>
      <c r="P29" s="10" t="str">
        <f>IF(N29&lt;&gt;"",IFERROR(INDEX(TJoursFeries[Jour férié],MATCH(N29,TJoursFeries[A afficher],0)),IF(AfficherNoSemaine="Oui",IF(UPPER(LEFT(TEXT(N29+1,"jjjj"),1))="J",TEXT(_xlfn.ISOWEEKNUM(N29),"00"),""),"")),"")</f>
        <v/>
      </c>
      <c r="Q29" s="6">
        <f t="shared" si="25"/>
        <v>44736</v>
      </c>
      <c r="R29" s="7" t="str">
        <f t="shared" si="34"/>
        <v>V</v>
      </c>
      <c r="S29" s="10" t="str">
        <f>IF(Q29&lt;&gt;"",IFERROR(INDEX(TJoursFeries[Jour férié],MATCH(Q29,TJoursFeries[A afficher],0)),IF(AfficherNoSemaine="Oui",IF(UPPER(LEFT(TEXT(Q29+1,"jjjj"),1))="J",TEXT(_xlfn.ISOWEEKNUM(Q29),"00"),""),"")),"")</f>
        <v/>
      </c>
      <c r="T29" s="6">
        <f t="shared" si="26"/>
        <v>44766</v>
      </c>
      <c r="U29" s="7" t="str">
        <f t="shared" si="9"/>
        <v>D</v>
      </c>
      <c r="V29" s="10" t="str">
        <f>IF(T29&lt;&gt;"",IFERROR(INDEX(TJoursFeries[Jour férié],MATCH(T29,TJoursFeries[A afficher],0)),IF(AfficherNoSemaine="Oui",IF(UPPER(LEFT(TEXT(T29+1,"jjjj"),1))="J",TEXT(_xlfn.ISOWEEKNUM(T29),"00"),""),"")),"")</f>
        <v/>
      </c>
      <c r="W29" s="6">
        <f t="shared" si="27"/>
        <v>44797</v>
      </c>
      <c r="X29" s="7" t="str">
        <f t="shared" si="11"/>
        <v>M</v>
      </c>
      <c r="Y29" s="10" t="str">
        <f>IF(W29&lt;&gt;"",IFERROR(INDEX(TJoursFeries[Jour férié],MATCH(W29,TJoursFeries[A afficher],0)),IF(AfficherNoSemaine="Oui",IF(UPPER(LEFT(TEXT(W29+1,"jjjj"),1))="J",TEXT(_xlfn.ISOWEEKNUM(W29),"00"),""),"")),"")</f>
        <v>34</v>
      </c>
      <c r="Z29" s="6">
        <f t="shared" si="28"/>
        <v>44828</v>
      </c>
      <c r="AA29" s="7" t="str">
        <f t="shared" si="13"/>
        <v>S</v>
      </c>
      <c r="AB29" s="10" t="str">
        <f>IF(Z29&lt;&gt;"",IFERROR(INDEX(TJoursFeries[Jour férié],MATCH(Z29,TJoursFeries[A afficher],0)),IF(AfficherNoSemaine="Oui",IF(UPPER(LEFT(TEXT(Z29+1,"jjjj"),1))="J",TEXT(_xlfn.ISOWEEKNUM(Z29),"00"),""),"")),"")</f>
        <v/>
      </c>
      <c r="AC29" s="6">
        <f t="shared" si="29"/>
        <v>44858</v>
      </c>
      <c r="AD29" s="7" t="str">
        <f t="shared" si="15"/>
        <v>L</v>
      </c>
      <c r="AE29" s="10" t="str">
        <f>IF(AC29&lt;&gt;"",IFERROR(INDEX(TJoursFeries[Jour férié],MATCH(AC29,TJoursFeries[A afficher],0)),IF(AfficherNoSemaine="Oui",IF(UPPER(LEFT(TEXT(AC29+1,"jjjj"),1))="J",TEXT(_xlfn.ISOWEEKNUM(AC29),"00"),""),"")),"")</f>
        <v/>
      </c>
      <c r="AF29" s="6">
        <f t="shared" si="30"/>
        <v>44889</v>
      </c>
      <c r="AG29" s="7" t="str">
        <f t="shared" si="17"/>
        <v>J</v>
      </c>
      <c r="AH29" s="10" t="str">
        <f>IF(AF29&lt;&gt;"",IFERROR(INDEX(TJoursFeries[Jour férié],MATCH(AF29,TJoursFeries[A afficher],0)),IF(AfficherNoSemaine="Oui",IF(UPPER(LEFT(TEXT(AF29+1,"jjjj"),1))="J",TEXT(_xlfn.ISOWEEKNUM(AF29),"00"),""),"")),"")</f>
        <v/>
      </c>
      <c r="AI29" s="6">
        <f t="shared" si="31"/>
        <v>44919</v>
      </c>
      <c r="AJ29" s="7" t="str">
        <f t="shared" si="19"/>
        <v>S</v>
      </c>
      <c r="AK29" s="10" t="str">
        <f>IF(AI29&lt;&gt;"",IFERROR(INDEX(TJoursFeries[Jour férié],MATCH(AI29,TJoursFeries[A afficher],0)),IF(AfficherNoSemaine="Oui",IF(UPPER(LEFT(TEXT(AI29+1,"jjjj"),1))="J",TEXT(_xlfn.ISOWEEKNUM(AI29),"00"),""),"")),"")</f>
        <v/>
      </c>
      <c r="AN29" s="19"/>
    </row>
    <row r="30" spans="2:40" s="4" customFormat="1" ht="30" customHeight="1" x14ac:dyDescent="0.2">
      <c r="B30" s="6">
        <f t="shared" si="32"/>
        <v>44586</v>
      </c>
      <c r="C30" s="7" t="str">
        <f t="shared" si="20"/>
        <v>M</v>
      </c>
      <c r="D30" s="10" t="str">
        <f>IF(B30&lt;&gt;"",IFERROR(INDEX(TJoursFeries[Jour férié],MATCH(B30,TJoursFeries[A afficher],0)),IF(AfficherNoSemaine="Oui",IF(UPPER(LEFT(TEXT(B30+1,"jjjj"),1))="J",TEXT(_xlfn.ISOWEEKNUM(B30),"00"),""),"")),"")</f>
        <v/>
      </c>
      <c r="E30" s="6">
        <f t="shared" si="33"/>
        <v>44617</v>
      </c>
      <c r="F30" s="7" t="str">
        <f t="shared" si="21"/>
        <v>V</v>
      </c>
      <c r="G30" s="10" t="str">
        <f>IF(E30&lt;&gt;"",IFERROR(INDEX(TJoursFeries[Jour férié],MATCH(E30,TJoursFeries[A afficher],0)),IF(AfficherNoSemaine="Oui",IF(UPPER(LEFT(TEXT(E30+1,"jjjj"),1))="J",TEXT(_xlfn.ISOWEEKNUM(E30),"00"),""),"")),"")</f>
        <v/>
      </c>
      <c r="H30" s="6">
        <f t="shared" si="22"/>
        <v>44645</v>
      </c>
      <c r="I30" s="7" t="str">
        <f t="shared" si="34"/>
        <v>V</v>
      </c>
      <c r="J30" s="10" t="str">
        <f>IF(H30&lt;&gt;"",IFERROR(INDEX(TJoursFeries[Jour férié],MATCH(H30,TJoursFeries[A afficher],0)),IF(AfficherNoSemaine="Oui",IF(UPPER(LEFT(TEXT(H30+1,"jjjj"),1))="J",TEXT(_xlfn.ISOWEEKNUM(H30),"00"),""),"")),"")</f>
        <v/>
      </c>
      <c r="K30" s="6">
        <f t="shared" si="23"/>
        <v>44676</v>
      </c>
      <c r="L30" s="7" t="str">
        <f t="shared" si="34"/>
        <v>L</v>
      </c>
      <c r="M30" s="10" t="str">
        <f>IF(K30&lt;&gt;"",IFERROR(INDEX(TJoursFeries[Jour férié],MATCH(K30,TJoursFeries[A afficher],0)),IF(AfficherNoSemaine="Oui",IF(UPPER(LEFT(TEXT(K30+1,"jjjj"),1))="J",TEXT(_xlfn.ISOWEEKNUM(K30),"00"),""),"")),"")</f>
        <v/>
      </c>
      <c r="N30" s="6">
        <f t="shared" si="24"/>
        <v>44706</v>
      </c>
      <c r="O30" s="7" t="str">
        <f t="shared" si="34"/>
        <v>M</v>
      </c>
      <c r="P30" s="10" t="str">
        <f>IF(N30&lt;&gt;"",IFERROR(INDEX(TJoursFeries[Jour férié],MATCH(N30,TJoursFeries[A afficher],0)),IF(AfficherNoSemaine="Oui",IF(UPPER(LEFT(TEXT(N30+1,"jjjj"),1))="J",TEXT(_xlfn.ISOWEEKNUM(N30),"00"),""),"")),"")</f>
        <v>21</v>
      </c>
      <c r="Q30" s="6">
        <f t="shared" si="25"/>
        <v>44737</v>
      </c>
      <c r="R30" s="7" t="str">
        <f t="shared" si="34"/>
        <v>S</v>
      </c>
      <c r="S30" s="10" t="str">
        <f>IF(Q30&lt;&gt;"",IFERROR(INDEX(TJoursFeries[Jour férié],MATCH(Q30,TJoursFeries[A afficher],0)),IF(AfficherNoSemaine="Oui",IF(UPPER(LEFT(TEXT(Q30+1,"jjjj"),1))="J",TEXT(_xlfn.ISOWEEKNUM(Q30),"00"),""),"")),"")</f>
        <v/>
      </c>
      <c r="T30" s="6">
        <f t="shared" si="26"/>
        <v>44767</v>
      </c>
      <c r="U30" s="7" t="str">
        <f t="shared" si="9"/>
        <v>L</v>
      </c>
      <c r="V30" s="10" t="str">
        <f>IF(T30&lt;&gt;"",IFERROR(INDEX(TJoursFeries[Jour férié],MATCH(T30,TJoursFeries[A afficher],0)),IF(AfficherNoSemaine="Oui",IF(UPPER(LEFT(TEXT(T30+1,"jjjj"),1))="J",TEXT(_xlfn.ISOWEEKNUM(T30),"00"),""),"")),"")</f>
        <v/>
      </c>
      <c r="W30" s="6">
        <f t="shared" si="27"/>
        <v>44798</v>
      </c>
      <c r="X30" s="7" t="str">
        <f t="shared" si="11"/>
        <v>J</v>
      </c>
      <c r="Y30" s="10" t="str">
        <f>IF(W30&lt;&gt;"",IFERROR(INDEX(TJoursFeries[Jour férié],MATCH(W30,TJoursFeries[A afficher],0)),IF(AfficherNoSemaine="Oui",IF(UPPER(LEFT(TEXT(W30+1,"jjjj"),1))="J",TEXT(_xlfn.ISOWEEKNUM(W30),"00"),""),"")),"")</f>
        <v/>
      </c>
      <c r="Z30" s="6">
        <f t="shared" si="28"/>
        <v>44829</v>
      </c>
      <c r="AA30" s="7" t="str">
        <f t="shared" si="13"/>
        <v>D</v>
      </c>
      <c r="AB30" s="10" t="str">
        <f>IF(Z30&lt;&gt;"",IFERROR(INDEX(TJoursFeries[Jour férié],MATCH(Z30,TJoursFeries[A afficher],0)),IF(AfficherNoSemaine="Oui",IF(UPPER(LEFT(TEXT(Z30+1,"jjjj"),1))="J",TEXT(_xlfn.ISOWEEKNUM(Z30),"00"),""),"")),"")</f>
        <v/>
      </c>
      <c r="AC30" s="6">
        <f t="shared" si="29"/>
        <v>44859</v>
      </c>
      <c r="AD30" s="7" t="str">
        <f t="shared" si="15"/>
        <v>M</v>
      </c>
      <c r="AE30" s="10" t="str">
        <f>IF(AC30&lt;&gt;"",IFERROR(INDEX(TJoursFeries[Jour férié],MATCH(AC30,TJoursFeries[A afficher],0)),IF(AfficherNoSemaine="Oui",IF(UPPER(LEFT(TEXT(AC30+1,"jjjj"),1))="J",TEXT(_xlfn.ISOWEEKNUM(AC30),"00"),""),"")),"")</f>
        <v/>
      </c>
      <c r="AF30" s="6">
        <f t="shared" si="30"/>
        <v>44890</v>
      </c>
      <c r="AG30" s="7" t="str">
        <f t="shared" si="17"/>
        <v>V</v>
      </c>
      <c r="AH30" s="10" t="str">
        <f>IF(AF30&lt;&gt;"",IFERROR(INDEX(TJoursFeries[Jour férié],MATCH(AF30,TJoursFeries[A afficher],0)),IF(AfficherNoSemaine="Oui",IF(UPPER(LEFT(TEXT(AF30+1,"jjjj"),1))="J",TEXT(_xlfn.ISOWEEKNUM(AF30),"00"),""),"")),"")</f>
        <v/>
      </c>
      <c r="AI30" s="6">
        <f t="shared" si="31"/>
        <v>44920</v>
      </c>
      <c r="AJ30" s="7" t="str">
        <f t="shared" si="19"/>
        <v>D</v>
      </c>
      <c r="AK30" s="10" t="str">
        <f>IF(AI30&lt;&gt;"",IFERROR(INDEX(TJoursFeries[Jour férié],MATCH(AI30,TJoursFeries[A afficher],0)),IF(AfficherNoSemaine="Oui",IF(UPPER(LEFT(TEXT(AI30+1,"jjjj"),1))="J",TEXT(_xlfn.ISOWEEKNUM(AI30),"00"),""),"")),"")</f>
        <v>Noël</v>
      </c>
    </row>
    <row r="31" spans="2:40" s="4" customFormat="1" ht="30" customHeight="1" x14ac:dyDescent="0.2">
      <c r="B31" s="6">
        <f t="shared" si="32"/>
        <v>44587</v>
      </c>
      <c r="C31" s="7" t="str">
        <f t="shared" si="20"/>
        <v>M</v>
      </c>
      <c r="D31" s="10" t="str">
        <f>IF(B31&lt;&gt;"",IFERROR(INDEX(TJoursFeries[Jour férié],MATCH(B31,TJoursFeries[A afficher],0)),IF(AfficherNoSemaine="Oui",IF(UPPER(LEFT(TEXT(B31+1,"jjjj"),1))="J",TEXT(_xlfn.ISOWEEKNUM(B31),"00"),""),"")),"")</f>
        <v>04</v>
      </c>
      <c r="E31" s="6">
        <f t="shared" si="33"/>
        <v>44618</v>
      </c>
      <c r="F31" s="7" t="str">
        <f t="shared" si="21"/>
        <v>S</v>
      </c>
      <c r="G31" s="10" t="str">
        <f>IF(E31&lt;&gt;"",IFERROR(INDEX(TJoursFeries[Jour férié],MATCH(E31,TJoursFeries[A afficher],0)),IF(AfficherNoSemaine="Oui",IF(UPPER(LEFT(TEXT(E31+1,"jjjj"),1))="J",TEXT(_xlfn.ISOWEEKNUM(E31),"00"),""),"")),"")</f>
        <v/>
      </c>
      <c r="H31" s="6">
        <f t="shared" si="22"/>
        <v>44646</v>
      </c>
      <c r="I31" s="7" t="str">
        <f t="shared" si="34"/>
        <v>S</v>
      </c>
      <c r="J31" s="10" t="str">
        <f>IF(H31&lt;&gt;"",IFERROR(INDEX(TJoursFeries[Jour férié],MATCH(H31,TJoursFeries[A afficher],0)),IF(AfficherNoSemaine="Oui",IF(UPPER(LEFT(TEXT(H31+1,"jjjj"),1))="J",TEXT(_xlfn.ISOWEEKNUM(H31),"00"),""),"")),"")</f>
        <v/>
      </c>
      <c r="K31" s="6">
        <f t="shared" si="23"/>
        <v>44677</v>
      </c>
      <c r="L31" s="7" t="str">
        <f t="shared" si="34"/>
        <v>M</v>
      </c>
      <c r="M31" s="10" t="str">
        <f>IF(K31&lt;&gt;"",IFERROR(INDEX(TJoursFeries[Jour férié],MATCH(K31,TJoursFeries[A afficher],0)),IF(AfficherNoSemaine="Oui",IF(UPPER(LEFT(TEXT(K31+1,"jjjj"),1))="J",TEXT(_xlfn.ISOWEEKNUM(K31),"00"),""),"")),"")</f>
        <v/>
      </c>
      <c r="N31" s="6">
        <f t="shared" si="24"/>
        <v>44707</v>
      </c>
      <c r="O31" s="7" t="str">
        <f t="shared" si="34"/>
        <v>J</v>
      </c>
      <c r="P31" s="10" t="str">
        <f>IF(N31&lt;&gt;"",IFERROR(INDEX(TJoursFeries[Jour férié],MATCH(N31,TJoursFeries[A afficher],0)),IF(AfficherNoSemaine="Oui",IF(UPPER(LEFT(TEXT(N31+1,"jjjj"),1))="J",TEXT(_xlfn.ISOWEEKNUM(N31),"00"),""),"")),"")</f>
        <v>Ascension</v>
      </c>
      <c r="Q31" s="6">
        <f t="shared" si="25"/>
        <v>44738</v>
      </c>
      <c r="R31" s="7" t="str">
        <f t="shared" si="34"/>
        <v>D</v>
      </c>
      <c r="S31" s="10" t="str">
        <f>IF(Q31&lt;&gt;"",IFERROR(INDEX(TJoursFeries[Jour férié],MATCH(Q31,TJoursFeries[A afficher],0)),IF(AfficherNoSemaine="Oui",IF(UPPER(LEFT(TEXT(Q31+1,"jjjj"),1))="J",TEXT(_xlfn.ISOWEEKNUM(Q31),"00"),""),"")),"")</f>
        <v/>
      </c>
      <c r="T31" s="6">
        <f t="shared" si="26"/>
        <v>44768</v>
      </c>
      <c r="U31" s="7" t="str">
        <f t="shared" si="9"/>
        <v>M</v>
      </c>
      <c r="V31" s="10" t="str">
        <f>IF(T31&lt;&gt;"",IFERROR(INDEX(TJoursFeries[Jour férié],MATCH(T31,TJoursFeries[A afficher],0)),IF(AfficherNoSemaine="Oui",IF(UPPER(LEFT(TEXT(T31+1,"jjjj"),1))="J",TEXT(_xlfn.ISOWEEKNUM(T31),"00"),""),"")),"")</f>
        <v/>
      </c>
      <c r="W31" s="6">
        <f t="shared" si="27"/>
        <v>44799</v>
      </c>
      <c r="X31" s="7" t="str">
        <f t="shared" si="11"/>
        <v>V</v>
      </c>
      <c r="Y31" s="10" t="str">
        <f>IF(W31&lt;&gt;"",IFERROR(INDEX(TJoursFeries[Jour férié],MATCH(W31,TJoursFeries[A afficher],0)),IF(AfficherNoSemaine="Oui",IF(UPPER(LEFT(TEXT(W31+1,"jjjj"),1))="J",TEXT(_xlfn.ISOWEEKNUM(W31),"00"),""),"")),"")</f>
        <v/>
      </c>
      <c r="Z31" s="6">
        <f t="shared" si="28"/>
        <v>44830</v>
      </c>
      <c r="AA31" s="7" t="str">
        <f t="shared" si="13"/>
        <v>L</v>
      </c>
      <c r="AB31" s="10" t="str">
        <f>IF(Z31&lt;&gt;"",IFERROR(INDEX(TJoursFeries[Jour férié],MATCH(Z31,TJoursFeries[A afficher],0)),IF(AfficherNoSemaine="Oui",IF(UPPER(LEFT(TEXT(Z31+1,"jjjj"),1))="J",TEXT(_xlfn.ISOWEEKNUM(Z31),"00"),""),"")),"")</f>
        <v/>
      </c>
      <c r="AC31" s="6">
        <f t="shared" si="29"/>
        <v>44860</v>
      </c>
      <c r="AD31" s="7" t="str">
        <f t="shared" si="15"/>
        <v>M</v>
      </c>
      <c r="AE31" s="10" t="str">
        <f>IF(AC31&lt;&gt;"",IFERROR(INDEX(TJoursFeries[Jour férié],MATCH(AC31,TJoursFeries[A afficher],0)),IF(AfficherNoSemaine="Oui",IF(UPPER(LEFT(TEXT(AC31+1,"jjjj"),1))="J",TEXT(_xlfn.ISOWEEKNUM(AC31),"00"),""),"")),"")</f>
        <v>43</v>
      </c>
      <c r="AF31" s="6">
        <f t="shared" si="30"/>
        <v>44891</v>
      </c>
      <c r="AG31" s="7" t="str">
        <f t="shared" si="17"/>
        <v>S</v>
      </c>
      <c r="AH31" s="10" t="str">
        <f>IF(AF31&lt;&gt;"",IFERROR(INDEX(TJoursFeries[Jour férié],MATCH(AF31,TJoursFeries[A afficher],0)),IF(AfficherNoSemaine="Oui",IF(UPPER(LEFT(TEXT(AF31+1,"jjjj"),1))="J",TEXT(_xlfn.ISOWEEKNUM(AF31),"00"),""),"")),"")</f>
        <v/>
      </c>
      <c r="AI31" s="6">
        <f t="shared" si="31"/>
        <v>44921</v>
      </c>
      <c r="AJ31" s="7" t="str">
        <f t="shared" si="19"/>
        <v>L</v>
      </c>
      <c r="AK31" s="10" t="str">
        <f>IF(AI31&lt;&gt;"",IFERROR(INDEX(TJoursFeries[Jour férié],MATCH(AI31,TJoursFeries[A afficher],0)),IF(AfficherNoSemaine="Oui",IF(UPPER(LEFT(TEXT(AI31+1,"jjjj"),1))="J",TEXT(_xlfn.ISOWEEKNUM(AI31),"00"),""),"")),"")</f>
        <v/>
      </c>
    </row>
    <row r="32" spans="2:40" s="4" customFormat="1" ht="30" customHeight="1" x14ac:dyDescent="0.2">
      <c r="B32" s="6">
        <f t="shared" si="32"/>
        <v>44588</v>
      </c>
      <c r="C32" s="7" t="str">
        <f t="shared" si="20"/>
        <v>J</v>
      </c>
      <c r="D32" s="10" t="str">
        <f>IF(B32&lt;&gt;"",IFERROR(INDEX(TJoursFeries[Jour férié],MATCH(B32,TJoursFeries[A afficher],0)),IF(AfficherNoSemaine="Oui",IF(UPPER(LEFT(TEXT(B32+1,"jjjj"),1))="J",TEXT(_xlfn.ISOWEEKNUM(B32),"00"),""),"")),"")</f>
        <v/>
      </c>
      <c r="E32" s="6">
        <f t="shared" si="33"/>
        <v>44619</v>
      </c>
      <c r="F32" s="7" t="str">
        <f t="shared" si="21"/>
        <v>D</v>
      </c>
      <c r="G32" s="10" t="str">
        <f>IF(E32&lt;&gt;"",IFERROR(INDEX(TJoursFeries[Jour férié],MATCH(E32,TJoursFeries[A afficher],0)),IF(AfficherNoSemaine="Oui",IF(UPPER(LEFT(TEXT(E32+1,"jjjj"),1))="J",TEXT(_xlfn.ISOWEEKNUM(E32),"00"),""),"")),"")</f>
        <v/>
      </c>
      <c r="H32" s="6">
        <f t="shared" si="22"/>
        <v>44647</v>
      </c>
      <c r="I32" s="7" t="str">
        <f t="shared" si="34"/>
        <v>D</v>
      </c>
      <c r="J32" s="10" t="str">
        <f>IF(H32&lt;&gt;"",IFERROR(INDEX(TJoursFeries[Jour férié],MATCH(H32,TJoursFeries[A afficher],0)),IF(AfficherNoSemaine="Oui",IF(UPPER(LEFT(TEXT(H32+1,"jjjj"),1))="J",TEXT(_xlfn.ISOWEEKNUM(H32),"00"),""),"")),"")</f>
        <v/>
      </c>
      <c r="K32" s="6">
        <f t="shared" si="23"/>
        <v>44678</v>
      </c>
      <c r="L32" s="7" t="str">
        <f t="shared" si="34"/>
        <v>M</v>
      </c>
      <c r="M32" s="10" t="str">
        <f>IF(K32&lt;&gt;"",IFERROR(INDEX(TJoursFeries[Jour férié],MATCH(K32,TJoursFeries[A afficher],0)),IF(AfficherNoSemaine="Oui",IF(UPPER(LEFT(TEXT(K32+1,"jjjj"),1))="J",TEXT(_xlfn.ISOWEEKNUM(K32),"00"),""),"")),"")</f>
        <v>17</v>
      </c>
      <c r="N32" s="6">
        <f t="shared" si="24"/>
        <v>44708</v>
      </c>
      <c r="O32" s="7" t="str">
        <f t="shared" si="34"/>
        <v>V</v>
      </c>
      <c r="P32" s="10" t="str">
        <f>IF(N32&lt;&gt;"",IFERROR(INDEX(TJoursFeries[Jour férié],MATCH(N32,TJoursFeries[A afficher],0)),IF(AfficherNoSemaine="Oui",IF(UPPER(LEFT(TEXT(N32+1,"jjjj"),1))="J",TEXT(_xlfn.ISOWEEKNUM(N32),"00"),""),"")),"")</f>
        <v/>
      </c>
      <c r="Q32" s="6">
        <f t="shared" si="25"/>
        <v>44739</v>
      </c>
      <c r="R32" s="7" t="str">
        <f t="shared" si="34"/>
        <v>L</v>
      </c>
      <c r="S32" s="10" t="str">
        <f>IF(Q32&lt;&gt;"",IFERROR(INDEX(TJoursFeries[Jour férié],MATCH(Q32,TJoursFeries[A afficher],0)),IF(AfficherNoSemaine="Oui",IF(UPPER(LEFT(TEXT(Q32+1,"jjjj"),1))="J",TEXT(_xlfn.ISOWEEKNUM(Q32),"00"),""),"")),"")</f>
        <v/>
      </c>
      <c r="T32" s="6">
        <f t="shared" si="26"/>
        <v>44769</v>
      </c>
      <c r="U32" s="7" t="str">
        <f t="shared" si="9"/>
        <v>M</v>
      </c>
      <c r="V32" s="10" t="str">
        <f>IF(T32&lt;&gt;"",IFERROR(INDEX(TJoursFeries[Jour férié],MATCH(T32,TJoursFeries[A afficher],0)),IF(AfficherNoSemaine="Oui",IF(UPPER(LEFT(TEXT(T32+1,"jjjj"),1))="J",TEXT(_xlfn.ISOWEEKNUM(T32),"00"),""),"")),"")</f>
        <v>30</v>
      </c>
      <c r="W32" s="6">
        <f t="shared" si="27"/>
        <v>44800</v>
      </c>
      <c r="X32" s="7" t="str">
        <f t="shared" si="11"/>
        <v>S</v>
      </c>
      <c r="Y32" s="10" t="str">
        <f>IF(W32&lt;&gt;"",IFERROR(INDEX(TJoursFeries[Jour férié],MATCH(W32,TJoursFeries[A afficher],0)),IF(AfficherNoSemaine="Oui",IF(UPPER(LEFT(TEXT(W32+1,"jjjj"),1))="J",TEXT(_xlfn.ISOWEEKNUM(W32),"00"),""),"")),"")</f>
        <v/>
      </c>
      <c r="Z32" s="6">
        <f t="shared" si="28"/>
        <v>44831</v>
      </c>
      <c r="AA32" s="7" t="str">
        <f t="shared" si="13"/>
        <v>M</v>
      </c>
      <c r="AB32" s="10" t="str">
        <f>IF(Z32&lt;&gt;"",IFERROR(INDEX(TJoursFeries[Jour férié],MATCH(Z32,TJoursFeries[A afficher],0)),IF(AfficherNoSemaine="Oui",IF(UPPER(LEFT(TEXT(Z32+1,"jjjj"),1))="J",TEXT(_xlfn.ISOWEEKNUM(Z32),"00"),""),"")),"")</f>
        <v/>
      </c>
      <c r="AC32" s="6">
        <f t="shared" si="29"/>
        <v>44861</v>
      </c>
      <c r="AD32" s="7" t="str">
        <f t="shared" si="15"/>
        <v>J</v>
      </c>
      <c r="AE32" s="10" t="str">
        <f>IF(AC32&lt;&gt;"",IFERROR(INDEX(TJoursFeries[Jour férié],MATCH(AC32,TJoursFeries[A afficher],0)),IF(AfficherNoSemaine="Oui",IF(UPPER(LEFT(TEXT(AC32+1,"jjjj"),1))="J",TEXT(_xlfn.ISOWEEKNUM(AC32),"00"),""),"")),"")</f>
        <v/>
      </c>
      <c r="AF32" s="6">
        <f t="shared" si="30"/>
        <v>44892</v>
      </c>
      <c r="AG32" s="7" t="str">
        <f t="shared" si="17"/>
        <v>D</v>
      </c>
      <c r="AH32" s="10" t="str">
        <f>IF(AF32&lt;&gt;"",IFERROR(INDEX(TJoursFeries[Jour férié],MATCH(AF32,TJoursFeries[A afficher],0)),IF(AfficherNoSemaine="Oui",IF(UPPER(LEFT(TEXT(AF32+1,"jjjj"),1))="J",TEXT(_xlfn.ISOWEEKNUM(AF32),"00"),""),"")),"")</f>
        <v/>
      </c>
      <c r="AI32" s="6">
        <f t="shared" si="31"/>
        <v>44922</v>
      </c>
      <c r="AJ32" s="7" t="str">
        <f t="shared" si="19"/>
        <v>M</v>
      </c>
      <c r="AK32" s="10" t="str">
        <f>IF(AI32&lt;&gt;"",IFERROR(INDEX(TJoursFeries[Jour férié],MATCH(AI32,TJoursFeries[A afficher],0)),IF(AfficherNoSemaine="Oui",IF(UPPER(LEFT(TEXT(AI32+1,"jjjj"),1))="J",TEXT(_xlfn.ISOWEEKNUM(AI32),"00"),""),"")),"")</f>
        <v/>
      </c>
    </row>
    <row r="33" spans="2:37" s="4" customFormat="1" ht="30" customHeight="1" x14ac:dyDescent="0.2">
      <c r="B33" s="6">
        <f t="shared" si="32"/>
        <v>44589</v>
      </c>
      <c r="C33" s="7" t="str">
        <f t="shared" si="20"/>
        <v>V</v>
      </c>
      <c r="D33" s="10" t="str">
        <f>IF(B33&lt;&gt;"",IFERROR(INDEX(TJoursFeries[Jour férié],MATCH(B33,TJoursFeries[A afficher],0)),IF(AfficherNoSemaine="Oui",IF(UPPER(LEFT(TEXT(B33+1,"jjjj"),1))="J",TEXT(_xlfn.ISOWEEKNUM(B33),"00"),""),"")),"")</f>
        <v/>
      </c>
      <c r="E33" s="6">
        <f t="shared" si="33"/>
        <v>44620</v>
      </c>
      <c r="F33" s="7" t="str">
        <f t="shared" si="21"/>
        <v>L</v>
      </c>
      <c r="G33" s="10" t="str">
        <f>IF(E33&lt;&gt;"",IFERROR(INDEX(TJoursFeries[Jour férié],MATCH(E33,TJoursFeries[A afficher],0)),IF(AfficherNoSemaine="Oui",IF(UPPER(LEFT(TEXT(E33+1,"jjjj"),1))="J",TEXT(_xlfn.ISOWEEKNUM(E33),"00"),""),"")),"")</f>
        <v/>
      </c>
      <c r="H33" s="6">
        <f t="shared" si="22"/>
        <v>44648</v>
      </c>
      <c r="I33" s="7" t="str">
        <f t="shared" si="34"/>
        <v>L</v>
      </c>
      <c r="J33" s="10" t="str">
        <f>IF(H33&lt;&gt;"",IFERROR(INDEX(TJoursFeries[Jour férié],MATCH(H33,TJoursFeries[A afficher],0)),IF(AfficherNoSemaine="Oui",IF(UPPER(LEFT(TEXT(H33+1,"jjjj"),1))="J",TEXT(_xlfn.ISOWEEKNUM(H33),"00"),""),"")),"")</f>
        <v/>
      </c>
      <c r="K33" s="6">
        <f t="shared" si="23"/>
        <v>44679</v>
      </c>
      <c r="L33" s="7" t="str">
        <f t="shared" si="34"/>
        <v>J</v>
      </c>
      <c r="M33" s="10" t="str">
        <f>IF(K33&lt;&gt;"",IFERROR(INDEX(TJoursFeries[Jour férié],MATCH(K33,TJoursFeries[A afficher],0)),IF(AfficherNoSemaine="Oui",IF(UPPER(LEFT(TEXT(K33+1,"jjjj"),1))="J",TEXT(_xlfn.ISOWEEKNUM(K33),"00"),""),"")),"")</f>
        <v/>
      </c>
      <c r="N33" s="6">
        <f t="shared" si="24"/>
        <v>44709</v>
      </c>
      <c r="O33" s="7" t="str">
        <f t="shared" si="34"/>
        <v>S</v>
      </c>
      <c r="P33" s="10" t="str">
        <f>IF(N33&lt;&gt;"",IFERROR(INDEX(TJoursFeries[Jour férié],MATCH(N33,TJoursFeries[A afficher],0)),IF(AfficherNoSemaine="Oui",IF(UPPER(LEFT(TEXT(N33+1,"jjjj"),1))="J",TEXT(_xlfn.ISOWEEKNUM(N33),"00"),""),"")),"")</f>
        <v/>
      </c>
      <c r="Q33" s="6">
        <f t="shared" si="25"/>
        <v>44740</v>
      </c>
      <c r="R33" s="7" t="str">
        <f t="shared" si="34"/>
        <v>M</v>
      </c>
      <c r="S33" s="10" t="str">
        <f>IF(Q33&lt;&gt;"",IFERROR(INDEX(TJoursFeries[Jour férié],MATCH(Q33,TJoursFeries[A afficher],0)),IF(AfficherNoSemaine="Oui",IF(UPPER(LEFT(TEXT(Q33+1,"jjjj"),1))="J",TEXT(_xlfn.ISOWEEKNUM(Q33),"00"),""),"")),"")</f>
        <v/>
      </c>
      <c r="T33" s="6">
        <f t="shared" si="26"/>
        <v>44770</v>
      </c>
      <c r="U33" s="7" t="str">
        <f t="shared" si="9"/>
        <v>J</v>
      </c>
      <c r="V33" s="10" t="str">
        <f>IF(T33&lt;&gt;"",IFERROR(INDEX(TJoursFeries[Jour férié],MATCH(T33,TJoursFeries[A afficher],0)),IF(AfficherNoSemaine="Oui",IF(UPPER(LEFT(TEXT(T33+1,"jjjj"),1))="J",TEXT(_xlfn.ISOWEEKNUM(T33),"00"),""),"")),"")</f>
        <v/>
      </c>
      <c r="W33" s="6">
        <f t="shared" si="27"/>
        <v>44801</v>
      </c>
      <c r="X33" s="7" t="str">
        <f t="shared" si="11"/>
        <v>D</v>
      </c>
      <c r="Y33" s="10" t="str">
        <f>IF(W33&lt;&gt;"",IFERROR(INDEX(TJoursFeries[Jour férié],MATCH(W33,TJoursFeries[A afficher],0)),IF(AfficherNoSemaine="Oui",IF(UPPER(LEFT(TEXT(W33+1,"jjjj"),1))="J",TEXT(_xlfn.ISOWEEKNUM(W33),"00"),""),"")),"")</f>
        <v/>
      </c>
      <c r="Z33" s="6">
        <f t="shared" si="28"/>
        <v>44832</v>
      </c>
      <c r="AA33" s="7" t="str">
        <f t="shared" si="13"/>
        <v>M</v>
      </c>
      <c r="AB33" s="10" t="str">
        <f>IF(Z33&lt;&gt;"",IFERROR(INDEX(TJoursFeries[Jour férié],MATCH(Z33,TJoursFeries[A afficher],0)),IF(AfficherNoSemaine="Oui",IF(UPPER(LEFT(TEXT(Z33+1,"jjjj"),1))="J",TEXT(_xlfn.ISOWEEKNUM(Z33),"00"),""),"")),"")</f>
        <v>39</v>
      </c>
      <c r="AC33" s="6">
        <f t="shared" si="29"/>
        <v>44862</v>
      </c>
      <c r="AD33" s="7" t="str">
        <f t="shared" si="15"/>
        <v>V</v>
      </c>
      <c r="AE33" s="10" t="str">
        <f>IF(AC33&lt;&gt;"",IFERROR(INDEX(TJoursFeries[Jour férié],MATCH(AC33,TJoursFeries[A afficher],0)),IF(AfficherNoSemaine="Oui",IF(UPPER(LEFT(TEXT(AC33+1,"jjjj"),1))="J",TEXT(_xlfn.ISOWEEKNUM(AC33),"00"),""),"")),"")</f>
        <v/>
      </c>
      <c r="AF33" s="6">
        <f t="shared" si="30"/>
        <v>44893</v>
      </c>
      <c r="AG33" s="7" t="str">
        <f t="shared" si="17"/>
        <v>L</v>
      </c>
      <c r="AH33" s="10" t="str">
        <f>IF(AF33&lt;&gt;"",IFERROR(INDEX(TJoursFeries[Jour férié],MATCH(AF33,TJoursFeries[A afficher],0)),IF(AfficherNoSemaine="Oui",IF(UPPER(LEFT(TEXT(AF33+1,"jjjj"),1))="J",TEXT(_xlfn.ISOWEEKNUM(AF33),"00"),""),"")),"")</f>
        <v/>
      </c>
      <c r="AI33" s="6">
        <f t="shared" si="31"/>
        <v>44923</v>
      </c>
      <c r="AJ33" s="7" t="str">
        <f t="shared" si="19"/>
        <v>M</v>
      </c>
      <c r="AK33" s="10" t="str">
        <f>IF(AI33&lt;&gt;"",IFERROR(INDEX(TJoursFeries[Jour férié],MATCH(AI33,TJoursFeries[A afficher],0)),IF(AfficherNoSemaine="Oui",IF(UPPER(LEFT(TEXT(AI33+1,"jjjj"),1))="J",TEXT(_xlfn.ISOWEEKNUM(AI33),"00"),""),"")),"")</f>
        <v>52</v>
      </c>
    </row>
    <row r="34" spans="2:37" s="4" customFormat="1" ht="30" customHeight="1" x14ac:dyDescent="0.2">
      <c r="B34" s="6">
        <f t="shared" si="32"/>
        <v>44590</v>
      </c>
      <c r="C34" s="7" t="str">
        <f t="shared" si="20"/>
        <v>S</v>
      </c>
      <c r="D34" s="10" t="str">
        <f>IF(B34&lt;&gt;"",IFERROR(INDEX(TJoursFeries[Jour férié],MATCH(B34,TJoursFeries[A afficher],0)),IF(AfficherNoSemaine="Oui",IF(UPPER(LEFT(TEXT(B34+1,"jjjj"),1))="J",TEXT(_xlfn.ISOWEEKNUM(B34),"00"),""),"")),"")</f>
        <v/>
      </c>
      <c r="E34" s="6" t="str">
        <f t="shared" si="33"/>
        <v/>
      </c>
      <c r="F34" s="7" t="str">
        <f t="shared" si="21"/>
        <v/>
      </c>
      <c r="G34" s="10" t="str">
        <f>IF(E34&lt;&gt;"",IFERROR(INDEX(TJoursFeries[Jour férié],MATCH(E34,TJoursFeries[A afficher],0)),IF(AfficherNoSemaine="Oui",IF(UPPER(LEFT(TEXT(E34+1,"jjjj"),1))="J",TEXT(_xlfn.ISOWEEKNUM(E34),"00"),""),"")),"")</f>
        <v/>
      </c>
      <c r="H34" s="6">
        <f t="shared" si="22"/>
        <v>44649</v>
      </c>
      <c r="I34" s="7" t="str">
        <f t="shared" si="34"/>
        <v>M</v>
      </c>
      <c r="J34" s="10" t="str">
        <f>IF(H34&lt;&gt;"",IFERROR(INDEX(TJoursFeries[Jour férié],MATCH(H34,TJoursFeries[A afficher],0)),IF(AfficherNoSemaine="Oui",IF(UPPER(LEFT(TEXT(H34+1,"jjjj"),1))="J",TEXT(_xlfn.ISOWEEKNUM(H34),"00"),""),"")),"")</f>
        <v/>
      </c>
      <c r="K34" s="6">
        <f t="shared" si="23"/>
        <v>44680</v>
      </c>
      <c r="L34" s="7" t="str">
        <f t="shared" si="34"/>
        <v>V</v>
      </c>
      <c r="M34" s="10" t="str">
        <f>IF(K34&lt;&gt;"",IFERROR(INDEX(TJoursFeries[Jour férié],MATCH(K34,TJoursFeries[A afficher],0)),IF(AfficherNoSemaine="Oui",IF(UPPER(LEFT(TEXT(K34+1,"jjjj"),1))="J",TEXT(_xlfn.ISOWEEKNUM(K34),"00"),""),"")),"")</f>
        <v/>
      </c>
      <c r="N34" s="6">
        <f t="shared" si="24"/>
        <v>44710</v>
      </c>
      <c r="O34" s="7" t="str">
        <f t="shared" si="34"/>
        <v>D</v>
      </c>
      <c r="P34" s="10" t="str">
        <f>IF(N34&lt;&gt;"",IFERROR(INDEX(TJoursFeries[Jour férié],MATCH(N34,TJoursFeries[A afficher],0)),IF(AfficherNoSemaine="Oui",IF(UPPER(LEFT(TEXT(N34+1,"jjjj"),1))="J",TEXT(_xlfn.ISOWEEKNUM(N34),"00"),""),"")),"")</f>
        <v/>
      </c>
      <c r="Q34" s="6">
        <f t="shared" si="25"/>
        <v>44741</v>
      </c>
      <c r="R34" s="7" t="str">
        <f t="shared" si="34"/>
        <v>M</v>
      </c>
      <c r="S34" s="10" t="str">
        <f>IF(Q34&lt;&gt;"",IFERROR(INDEX(TJoursFeries[Jour férié],MATCH(Q34,TJoursFeries[A afficher],0)),IF(AfficherNoSemaine="Oui",IF(UPPER(LEFT(TEXT(Q34+1,"jjjj"),1))="J",TEXT(_xlfn.ISOWEEKNUM(Q34),"00"),""),"")),"")</f>
        <v>26</v>
      </c>
      <c r="T34" s="6">
        <f t="shared" si="26"/>
        <v>44771</v>
      </c>
      <c r="U34" s="7" t="str">
        <f t="shared" si="9"/>
        <v>V</v>
      </c>
      <c r="V34" s="10" t="str">
        <f>IF(T34&lt;&gt;"",IFERROR(INDEX(TJoursFeries[Jour férié],MATCH(T34,TJoursFeries[A afficher],0)),IF(AfficherNoSemaine="Oui",IF(UPPER(LEFT(TEXT(T34+1,"jjjj"),1))="J",TEXT(_xlfn.ISOWEEKNUM(T34),"00"),""),"")),"")</f>
        <v/>
      </c>
      <c r="W34" s="6">
        <f t="shared" si="27"/>
        <v>44802</v>
      </c>
      <c r="X34" s="7" t="str">
        <f t="shared" si="11"/>
        <v>L</v>
      </c>
      <c r="Y34" s="10" t="str">
        <f>IF(W34&lt;&gt;"",IFERROR(INDEX(TJoursFeries[Jour férié],MATCH(W34,TJoursFeries[A afficher],0)),IF(AfficherNoSemaine="Oui",IF(UPPER(LEFT(TEXT(W34+1,"jjjj"),1))="J",TEXT(_xlfn.ISOWEEKNUM(W34),"00"),""),"")),"")</f>
        <v/>
      </c>
      <c r="Z34" s="6">
        <f t="shared" si="28"/>
        <v>44833</v>
      </c>
      <c r="AA34" s="7" t="str">
        <f t="shared" si="13"/>
        <v>J</v>
      </c>
      <c r="AB34" s="10" t="str">
        <f>IF(Z34&lt;&gt;"",IFERROR(INDEX(TJoursFeries[Jour férié],MATCH(Z34,TJoursFeries[A afficher],0)),IF(AfficherNoSemaine="Oui",IF(UPPER(LEFT(TEXT(Z34+1,"jjjj"),1))="J",TEXT(_xlfn.ISOWEEKNUM(Z34),"00"),""),"")),"")</f>
        <v/>
      </c>
      <c r="AC34" s="6">
        <f t="shared" si="29"/>
        <v>44863</v>
      </c>
      <c r="AD34" s="7" t="str">
        <f t="shared" si="15"/>
        <v>S</v>
      </c>
      <c r="AE34" s="10" t="str">
        <f>IF(AC34&lt;&gt;"",IFERROR(INDEX(TJoursFeries[Jour férié],MATCH(AC34,TJoursFeries[A afficher],0)),IF(AfficherNoSemaine="Oui",IF(UPPER(LEFT(TEXT(AC34+1,"jjjj"),1))="J",TEXT(_xlfn.ISOWEEKNUM(AC34),"00"),""),"")),"")</f>
        <v/>
      </c>
      <c r="AF34" s="6">
        <f t="shared" si="30"/>
        <v>44894</v>
      </c>
      <c r="AG34" s="7" t="str">
        <f t="shared" si="17"/>
        <v>M</v>
      </c>
      <c r="AH34" s="10" t="str">
        <f>IF(AF34&lt;&gt;"",IFERROR(INDEX(TJoursFeries[Jour férié],MATCH(AF34,TJoursFeries[A afficher],0)),IF(AfficherNoSemaine="Oui",IF(UPPER(LEFT(TEXT(AF34+1,"jjjj"),1))="J",TEXT(_xlfn.ISOWEEKNUM(AF34),"00"),""),"")),"")</f>
        <v/>
      </c>
      <c r="AI34" s="6">
        <f t="shared" si="31"/>
        <v>44924</v>
      </c>
      <c r="AJ34" s="7" t="str">
        <f t="shared" si="19"/>
        <v>J</v>
      </c>
      <c r="AK34" s="10" t="str">
        <f>IF(AI34&lt;&gt;"",IFERROR(INDEX(TJoursFeries[Jour férié],MATCH(AI34,TJoursFeries[A afficher],0)),IF(AfficherNoSemaine="Oui",IF(UPPER(LEFT(TEXT(AI34+1,"jjjj"),1))="J",TEXT(_xlfn.ISOWEEKNUM(AI34),"00"),""),"")),"")</f>
        <v/>
      </c>
    </row>
    <row r="35" spans="2:37" s="4" customFormat="1" ht="30" customHeight="1" x14ac:dyDescent="0.2">
      <c r="B35" s="6">
        <f t="shared" si="32"/>
        <v>44591</v>
      </c>
      <c r="C35" s="7" t="str">
        <f t="shared" si="20"/>
        <v>D</v>
      </c>
      <c r="D35" s="10" t="str">
        <f>IF(B35&lt;&gt;"",IFERROR(INDEX(TJoursFeries[Jour férié],MATCH(B35,TJoursFeries[A afficher],0)),IF(AfficherNoSemaine="Oui",IF(UPPER(LEFT(TEXT(B35+1,"jjjj"),1))="J",TEXT(_xlfn.ISOWEEKNUM(B35),"00"),""),"")),"")</f>
        <v/>
      </c>
      <c r="E35" s="6" t="str">
        <f t="shared" si="33"/>
        <v/>
      </c>
      <c r="F35" s="7" t="str">
        <f t="shared" si="21"/>
        <v/>
      </c>
      <c r="G35" s="10" t="str">
        <f>IF(E35&lt;&gt;"",IFERROR(INDEX(TJoursFeries[Jour férié],MATCH(E35,TJoursFeries[A afficher],0)),IF(AfficherNoSemaine="Oui",IF(UPPER(LEFT(TEXT(E35+1,"jjjj"),1))="J",TEXT(_xlfn.ISOWEEKNUM(E35),"00"),""),"")),"")</f>
        <v/>
      </c>
      <c r="H35" s="6">
        <f t="shared" si="22"/>
        <v>44650</v>
      </c>
      <c r="I35" s="7" t="str">
        <f t="shared" si="34"/>
        <v>M</v>
      </c>
      <c r="J35" s="10" t="str">
        <f>IF(H35&lt;&gt;"",IFERROR(INDEX(TJoursFeries[Jour férié],MATCH(H35,TJoursFeries[A afficher],0)),IF(AfficherNoSemaine="Oui",IF(UPPER(LEFT(TEXT(H35+1,"jjjj"),1))="J",TEXT(_xlfn.ISOWEEKNUM(H35),"00"),""),"")),"")</f>
        <v>13</v>
      </c>
      <c r="K35" s="6">
        <f t="shared" si="23"/>
        <v>44681</v>
      </c>
      <c r="L35" s="7" t="str">
        <f t="shared" si="34"/>
        <v>S</v>
      </c>
      <c r="M35" s="10" t="str">
        <f>IF(K35&lt;&gt;"",IFERROR(INDEX(TJoursFeries[Jour férié],MATCH(K35,TJoursFeries[A afficher],0)),IF(AfficherNoSemaine="Oui",IF(UPPER(LEFT(TEXT(K35+1,"jjjj"),1))="J",TEXT(_xlfn.ISOWEEKNUM(K35),"00"),""),"")),"")</f>
        <v/>
      </c>
      <c r="N35" s="6">
        <f t="shared" si="24"/>
        <v>44711</v>
      </c>
      <c r="O35" s="7" t="str">
        <f t="shared" si="34"/>
        <v>L</v>
      </c>
      <c r="P35" s="10" t="str">
        <f>IF(N35&lt;&gt;"",IFERROR(INDEX(TJoursFeries[Jour férié],MATCH(N35,TJoursFeries[A afficher],0)),IF(AfficherNoSemaine="Oui",IF(UPPER(LEFT(TEXT(N35+1,"jjjj"),1))="J",TEXT(_xlfn.ISOWEEKNUM(N35),"00"),""),"")),"")</f>
        <v/>
      </c>
      <c r="Q35" s="6">
        <f t="shared" si="25"/>
        <v>44742</v>
      </c>
      <c r="R35" s="7" t="str">
        <f t="shared" si="34"/>
        <v>J</v>
      </c>
      <c r="S35" s="10" t="str">
        <f>IF(Q35&lt;&gt;"",IFERROR(INDEX(TJoursFeries[Jour férié],MATCH(Q35,TJoursFeries[A afficher],0)),IF(AfficherNoSemaine="Oui",IF(UPPER(LEFT(TEXT(Q35+1,"jjjj"),1))="J",TEXT(_xlfn.ISOWEEKNUM(Q35),"00"),""),"")),"")</f>
        <v/>
      </c>
      <c r="T35" s="6">
        <f t="shared" si="26"/>
        <v>44772</v>
      </c>
      <c r="U35" s="7" t="str">
        <f t="shared" si="9"/>
        <v>S</v>
      </c>
      <c r="V35" s="10" t="str">
        <f>IF(T35&lt;&gt;"",IFERROR(INDEX(TJoursFeries[Jour férié],MATCH(T35,TJoursFeries[A afficher],0)),IF(AfficherNoSemaine="Oui",IF(UPPER(LEFT(TEXT(T35+1,"jjjj"),1))="J",TEXT(_xlfn.ISOWEEKNUM(T35),"00"),""),"")),"")</f>
        <v/>
      </c>
      <c r="W35" s="6">
        <f t="shared" si="27"/>
        <v>44803</v>
      </c>
      <c r="X35" s="7" t="str">
        <f t="shared" si="11"/>
        <v>M</v>
      </c>
      <c r="Y35" s="10" t="str">
        <f>IF(W35&lt;&gt;"",IFERROR(INDEX(TJoursFeries[Jour férié],MATCH(W35,TJoursFeries[A afficher],0)),IF(AfficherNoSemaine="Oui",IF(UPPER(LEFT(TEXT(W35+1,"jjjj"),1))="J",TEXT(_xlfn.ISOWEEKNUM(W35),"00"),""),"")),"")</f>
        <v/>
      </c>
      <c r="Z35" s="6">
        <f t="shared" si="28"/>
        <v>44834</v>
      </c>
      <c r="AA35" s="7" t="str">
        <f t="shared" si="13"/>
        <v>V</v>
      </c>
      <c r="AB35" s="10" t="str">
        <f>IF(Z35&lt;&gt;"",IFERROR(INDEX(TJoursFeries[Jour férié],MATCH(Z35,TJoursFeries[A afficher],0)),IF(AfficherNoSemaine="Oui",IF(UPPER(LEFT(TEXT(Z35+1,"jjjj"),1))="J",TEXT(_xlfn.ISOWEEKNUM(Z35),"00"),""),"")),"")</f>
        <v/>
      </c>
      <c r="AC35" s="6">
        <f t="shared" si="29"/>
        <v>44864</v>
      </c>
      <c r="AD35" s="7" t="str">
        <f t="shared" si="15"/>
        <v>D</v>
      </c>
      <c r="AE35" s="10" t="str">
        <f>IF(AC35&lt;&gt;"",IFERROR(INDEX(TJoursFeries[Jour férié],MATCH(AC35,TJoursFeries[A afficher],0)),IF(AfficherNoSemaine="Oui",IF(UPPER(LEFT(TEXT(AC35+1,"jjjj"),1))="J",TEXT(_xlfn.ISOWEEKNUM(AC35),"00"),""),"")),"")</f>
        <v/>
      </c>
      <c r="AF35" s="6">
        <f t="shared" si="30"/>
        <v>44895</v>
      </c>
      <c r="AG35" s="7" t="str">
        <f t="shared" si="17"/>
        <v>M</v>
      </c>
      <c r="AH35" s="10" t="str">
        <f>IF(AF35&lt;&gt;"",IFERROR(INDEX(TJoursFeries[Jour férié],MATCH(AF35,TJoursFeries[A afficher],0)),IF(AfficherNoSemaine="Oui",IF(UPPER(LEFT(TEXT(AF35+1,"jjjj"),1))="J",TEXT(_xlfn.ISOWEEKNUM(AF35),"00"),""),"")),"")</f>
        <v>48</v>
      </c>
      <c r="AI35" s="6">
        <f t="shared" si="31"/>
        <v>44925</v>
      </c>
      <c r="AJ35" s="7" t="str">
        <f t="shared" si="19"/>
        <v>V</v>
      </c>
      <c r="AK35" s="10" t="str">
        <f>IF(AI35&lt;&gt;"",IFERROR(INDEX(TJoursFeries[Jour férié],MATCH(AI35,TJoursFeries[A afficher],0)),IF(AfficherNoSemaine="Oui",IF(UPPER(LEFT(TEXT(AI35+1,"jjjj"),1))="J",TEXT(_xlfn.ISOWEEKNUM(AI35),"00"),""),"")),"")</f>
        <v/>
      </c>
    </row>
    <row r="36" spans="2:37" s="4" customFormat="1" ht="30" customHeight="1" x14ac:dyDescent="0.2">
      <c r="B36" s="6">
        <f t="shared" si="32"/>
        <v>44592</v>
      </c>
      <c r="C36" s="7" t="str">
        <f t="shared" si="20"/>
        <v>L</v>
      </c>
      <c r="D36" s="10" t="str">
        <f>IF(B36&lt;&gt;"",IFERROR(INDEX(TJoursFeries[Jour férié],MATCH(B36,TJoursFeries[A afficher],0)),IF(AfficherNoSemaine="Oui",IF(UPPER(LEFT(TEXT(B36+1,"jjjj"),1))="J",TEXT(_xlfn.ISOWEEKNUM(B36),"00"),""),"")),"")</f>
        <v/>
      </c>
      <c r="E36" s="6" t="str">
        <f t="shared" si="33"/>
        <v/>
      </c>
      <c r="F36" s="7" t="str">
        <f t="shared" si="21"/>
        <v/>
      </c>
      <c r="G36" s="10" t="str">
        <f>IF(E36&lt;&gt;"",IFERROR(INDEX(TJoursFeries[Jour férié],MATCH(E36,TJoursFeries[A afficher],0)),IF(AfficherNoSemaine="Oui",IF(UPPER(LEFT(TEXT(E36+1,"jjjj"),1))="J",TEXT(_xlfn.ISOWEEKNUM(E36),"00"),""),"")),"")</f>
        <v/>
      </c>
      <c r="H36" s="6">
        <f t="shared" si="22"/>
        <v>44651</v>
      </c>
      <c r="I36" s="7" t="str">
        <f t="shared" si="34"/>
        <v>J</v>
      </c>
      <c r="J36" s="10" t="str">
        <f>IF(H36&lt;&gt;"",IFERROR(INDEX(TJoursFeries[Jour férié],MATCH(H36,TJoursFeries[A afficher],0)),IF(AfficherNoSemaine="Oui",IF(UPPER(LEFT(TEXT(H36+1,"jjjj"),1))="J",TEXT(_xlfn.ISOWEEKNUM(H36),"00"),""),"")),"")</f>
        <v/>
      </c>
      <c r="K36" s="6" t="str">
        <f t="shared" si="23"/>
        <v/>
      </c>
      <c r="L36" s="7" t="str">
        <f t="shared" si="34"/>
        <v/>
      </c>
      <c r="M36" s="10" t="str">
        <f>IF(K36&lt;&gt;"",IFERROR(INDEX(TJoursFeries[Jour férié],MATCH(K36,TJoursFeries[A afficher],0)),IF(AfficherNoSemaine="Oui",IF(UPPER(LEFT(TEXT(K36+1,"jjjj"),1))="J",TEXT(_xlfn.ISOWEEKNUM(K36),"00"),""),"")),"")</f>
        <v/>
      </c>
      <c r="N36" s="6">
        <f t="shared" si="24"/>
        <v>44712</v>
      </c>
      <c r="O36" s="7" t="str">
        <f t="shared" si="34"/>
        <v>M</v>
      </c>
      <c r="P36" s="10" t="str">
        <f>IF(N36&lt;&gt;"",IFERROR(INDEX(TJoursFeries[Jour férié],MATCH(N36,TJoursFeries[A afficher],0)),IF(AfficherNoSemaine="Oui",IF(UPPER(LEFT(TEXT(N36+1,"jjjj"),1))="J",TEXT(_xlfn.ISOWEEKNUM(N36),"00"),""),"")),"")</f>
        <v/>
      </c>
      <c r="Q36" s="6" t="str">
        <f t="shared" si="25"/>
        <v/>
      </c>
      <c r="R36" s="7" t="str">
        <f t="shared" si="34"/>
        <v/>
      </c>
      <c r="S36" s="10" t="str">
        <f>IF(Q36&lt;&gt;"",IFERROR(INDEX(TJoursFeries[Jour férié],MATCH(Q36,TJoursFeries[A afficher],0)),IF(AfficherNoSemaine="Oui",IF(UPPER(LEFT(TEXT(Q36+1,"jjjj"),1))="J",TEXT(_xlfn.ISOWEEKNUM(Q36),"00"),""),"")),"")</f>
        <v/>
      </c>
      <c r="T36" s="6">
        <f t="shared" si="26"/>
        <v>44773</v>
      </c>
      <c r="U36" s="7" t="str">
        <f t="shared" si="9"/>
        <v>D</v>
      </c>
      <c r="V36" s="10" t="str">
        <f>IF(T36&lt;&gt;"",IFERROR(INDEX(TJoursFeries[Jour férié],MATCH(T36,TJoursFeries[A afficher],0)),IF(AfficherNoSemaine="Oui",IF(UPPER(LEFT(TEXT(T36+1,"jjjj"),1))="J",TEXT(_xlfn.ISOWEEKNUM(T36),"00"),""),"")),"")</f>
        <v/>
      </c>
      <c r="W36" s="6">
        <f t="shared" si="27"/>
        <v>44804</v>
      </c>
      <c r="X36" s="7" t="str">
        <f t="shared" si="11"/>
        <v>M</v>
      </c>
      <c r="Y36" s="10" t="str">
        <f>IF(W36&lt;&gt;"",IFERROR(INDEX(TJoursFeries[Jour férié],MATCH(W36,TJoursFeries[A afficher],0)),IF(AfficherNoSemaine="Oui",IF(UPPER(LEFT(TEXT(W36+1,"jjjj"),1))="J",TEXT(_xlfn.ISOWEEKNUM(W36),"00"),""),"")),"")</f>
        <v>35</v>
      </c>
      <c r="Z36" s="6" t="str">
        <f t="shared" si="28"/>
        <v/>
      </c>
      <c r="AA36" s="7" t="str">
        <f t="shared" si="13"/>
        <v/>
      </c>
      <c r="AB36" s="10" t="str">
        <f>IF(Z36&lt;&gt;"",IFERROR(INDEX(TJoursFeries[Jour férié],MATCH(Z36,TJoursFeries[A afficher],0)),IF(AfficherNoSemaine="Oui",IF(UPPER(LEFT(TEXT(Z36+1,"jjjj"),1))="J",TEXT(_xlfn.ISOWEEKNUM(Z36),"00"),""),"")),"")</f>
        <v/>
      </c>
      <c r="AC36" s="6">
        <f t="shared" si="29"/>
        <v>44865</v>
      </c>
      <c r="AD36" s="7" t="str">
        <f t="shared" si="15"/>
        <v>L</v>
      </c>
      <c r="AE36" s="10" t="str">
        <f>IF(AC36&lt;&gt;"",IFERROR(INDEX(TJoursFeries[Jour férié],MATCH(AC36,TJoursFeries[A afficher],0)),IF(AfficherNoSemaine="Oui",IF(UPPER(LEFT(TEXT(AC36+1,"jjjj"),1))="J",TEXT(_xlfn.ISOWEEKNUM(AC36),"00"),""),"")),"")</f>
        <v/>
      </c>
      <c r="AF36" s="6" t="str">
        <f t="shared" si="30"/>
        <v/>
      </c>
      <c r="AG36" s="7" t="str">
        <f t="shared" si="17"/>
        <v/>
      </c>
      <c r="AH36" s="10" t="str">
        <f>IF(AF36&lt;&gt;"",IFERROR(INDEX(TJoursFeries[Jour férié],MATCH(AF36,TJoursFeries[A afficher],0)),IF(AfficherNoSemaine="Oui",IF(UPPER(LEFT(TEXT(AF36+1,"jjjj"),1))="J",TEXT(_xlfn.ISOWEEKNUM(AF36),"00"),""),"")),"")</f>
        <v/>
      </c>
      <c r="AI36" s="6">
        <f t="shared" si="31"/>
        <v>44926</v>
      </c>
      <c r="AJ36" s="7" t="str">
        <f t="shared" si="19"/>
        <v>S</v>
      </c>
      <c r="AK36" s="10" t="str">
        <f>IF(AI36&lt;&gt;"",IFERROR(INDEX(TJoursFeries[Jour férié],MATCH(AI36,TJoursFeries[A afficher],0)),IF(AfficherNoSemaine="Oui",IF(UPPER(LEFT(TEXT(AI36+1,"jjjj"),1))="J",TEXT(_xlfn.ISOWEEKNUM(AI36),"00"),""),"")),"")</f>
        <v/>
      </c>
    </row>
    <row r="39" spans="2:37" x14ac:dyDescent="0.2">
      <c r="D39" s="2"/>
      <c r="E39" s="2"/>
      <c r="F39" s="2"/>
      <c r="G39" s="2"/>
      <c r="H39" s="2"/>
      <c r="I39" s="2"/>
      <c r="J39" s="2"/>
    </row>
    <row r="40" spans="2:37" x14ac:dyDescent="0.2">
      <c r="D40" s="2"/>
      <c r="E40" s="2"/>
      <c r="F40" s="2"/>
      <c r="G40" s="2"/>
      <c r="H40" s="2"/>
      <c r="I40" s="2"/>
      <c r="J40" s="2"/>
    </row>
  </sheetData>
  <mergeCells count="14">
    <mergeCell ref="H1:J1"/>
    <mergeCell ref="A1:C1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conditionalFormatting sqref="B6:AJ36">
    <cfRule type="expression" dxfId="87" priority="28" stopIfTrue="1">
      <formula>IF(MOD(COLUMN(B6),3)=2,IFERROR(_xlfn.NUMBERVALUE(D6),"")="",IF(MOD(COLUMN(B6),3)=0,AND(A6&lt;&gt;"",B6&lt;&gt;"",IFERROR(_xlfn.NUMBERVALUE(C6),"")=""),IFERROR(_xlfn.NUMBERVALUE(B6),"")=""))</formula>
    </cfRule>
    <cfRule type="expression" dxfId="86" priority="30">
      <formula>IF(MOD(COLUMN(B6),3)=2,IF(C6="D",TRUE,FALSE),IF(MOD(COLUMN(B6),3)=0,IF(B6="D",TRUE,FALSE),IF(A6="D",TRUE,FALSE)))</formula>
    </cfRule>
    <cfRule type="expression" dxfId="85" priority="31">
      <formula>IF(MOD(COLUMN(B6),3)=2,IF(C6="S",TRUE,FALSE),IF(MOD(COLUMN(B6),3)=0,IF(B6="S",TRUE,FALSE),IF(A6="S",TRUE,FALSE)))</formula>
    </cfRule>
  </conditionalFormatting>
  <conditionalFormatting sqref="B6:B36 H6:H36 K6:K36 N6:N36 Q6:Q36 T6:T36 W6:W36 Z6:Z36 AC6:AC36 AF6:AF36 AI6:AI36 E6:E36">
    <cfRule type="expression" dxfId="84" priority="29">
      <formula>IF(B6&lt;&gt;"",TRUE,FALSE)</formula>
    </cfRule>
  </conditionalFormatting>
  <conditionalFormatting sqref="B34:B36 E34:E36 H34:H36 K34:K36 N34:N36 Q34:Q36 T34:T36 W34:W36 Z34:Z36 AC34:AC36 AF34:AF36 AI34:AI36">
    <cfRule type="expression" dxfId="83" priority="33">
      <formula>IF(B34&lt;&gt;"",FALSE,TRUE)</formula>
    </cfRule>
  </conditionalFormatting>
  <conditionalFormatting sqref="C34:C36 F34:F36 I34:I36 L34:L36 O34:O36 R34:R36 U34:U36 X34:X36 AA34:AA36 AD34:AD36 AG34:AG36 AJ34:AJ36">
    <cfRule type="expression" dxfId="82" priority="32">
      <formula>IF(B34="",TRUE,FALSE)</formula>
    </cfRule>
  </conditionalFormatting>
  <conditionalFormatting sqref="AK6:AK36">
    <cfRule type="expression" dxfId="81" priority="13" stopIfTrue="1">
      <formula>IF(MOD(COLUMN(AK6),3)=2,IFERROR(_xlfn.NUMBERVALUE(AM6),"")="",IF(MOD(COLUMN(AK6),3)=0,AND(AJ6&lt;&gt;"",AK6&lt;&gt;"",IFERROR(_xlfn.NUMBERVALUE(AL6),"")=""),IFERROR(_xlfn.NUMBERVALUE(AK6),"")=""))</formula>
    </cfRule>
    <cfRule type="expression" dxfId="80" priority="14">
      <formula>IF(MOD(COLUMN(AK6),3)=2,IF(AL6="D",TRUE,FALSE),IF(MOD(COLUMN(AK6),3)=0,IF(AK6="D",TRUE,FALSE),IF(AJ6="D",TRUE,FALSE)))</formula>
    </cfRule>
    <cfRule type="expression" dxfId="79" priority="15">
      <formula>IF(MOD(COLUMN(AK6),3)=2,IF(AL6="S",TRUE,FALSE),IF(MOD(COLUMN(AK6),3)=0,IF(AK6="S",TRUE,FALSE),IF(AJ6="S",TRUE,FALSE)))</formula>
    </cfRule>
  </conditionalFormatting>
  <conditionalFormatting sqref="X3:Y3">
    <cfRule type="expression" dxfId="78" priority="12">
      <formula>IF($Y$3&lt;&gt;"",TRUE,FALSE)</formula>
    </cfRule>
  </conditionalFormatting>
  <conditionalFormatting sqref="E5:AK5">
    <cfRule type="expression" dxfId="77" priority="1">
      <formula>IF(YEAR(E6)&gt;YEAR(Jour1Cal),TRUE,FALSE)</formula>
    </cfRule>
    <cfRule type="expression" dxfId="76" priority="11">
      <formula>IF(YEAR(E6)&gt;YEAR(B6),TRUE,FALSE)</formula>
    </cfRule>
  </conditionalFormatting>
  <conditionalFormatting sqref="E35:G35">
    <cfRule type="expression" dxfId="75" priority="10">
      <formula>IF($E$34&lt;&gt;"",FALSE,TRUE)</formula>
    </cfRule>
  </conditionalFormatting>
  <conditionalFormatting sqref="E36">
    <cfRule type="expression" dxfId="74" priority="8">
      <formula>IF($E$34&lt;&gt;"",FALSE,TRUE)</formula>
    </cfRule>
  </conditionalFormatting>
  <conditionalFormatting sqref="E36:G36">
    <cfRule type="expression" dxfId="73" priority="7">
      <formula>IF($E$34&lt;&gt;"",FALSE,TRUE)</formula>
    </cfRule>
  </conditionalFormatting>
  <conditionalFormatting sqref="D34:D36 G34:G36 J34:J36 M34:M36 P34:P36 S34:S36 V34:V36 Y34:Y36 AB34:AB36 AE34:AE36 AH34:AH36 AK34:AK36">
    <cfRule type="expression" dxfId="72" priority="5">
      <formula>IF(B34&lt;&gt;"",FALSE,TRUE)</formula>
    </cfRule>
  </conditionalFormatting>
  <conditionalFormatting sqref="B34:B36">
    <cfRule type="expression" dxfId="71" priority="4">
      <formula>IF(B34="",TRUE,FALSE)</formula>
    </cfRule>
  </conditionalFormatting>
  <conditionalFormatting sqref="AK34:AK36">
    <cfRule type="expression" dxfId="70" priority="3">
      <formula>IF(AI34="",TRUE,FALSE)</formula>
    </cfRule>
  </conditionalFormatting>
  <conditionalFormatting sqref="S6:S36 D6:D36 G6:G36 J6:J36 M6:M36 P6:P36 V6:V36 Y6:Y36 AB6:AB36 AE6:AE36 AH6:AH36 AK6:AK36">
    <cfRule type="expression" dxfId="69" priority="2" stopIfTrue="1">
      <formula>IF(AfficherAujourdHui="Oui",IF(B6=TODAY(),TRUE,FALSE),FALSE)</formula>
    </cfRule>
  </conditionalFormatting>
  <dataValidations count="4">
    <dataValidation type="list" allowBlank="1" showInputMessage="1" showErrorMessage="1" sqref="V3" xr:uid="{00FAABB7-5791-4627-A245-8E81A0FD7BB5}">
      <formula1>LAnnee</formula1>
    </dataValidation>
    <dataValidation type="list" allowBlank="1" showInputMessage="1" showErrorMessage="1" sqref="AK1 Y1 AE1" xr:uid="{6C71797E-5AA0-4CEE-89D9-A87437F8E827}">
      <formula1>"Oui,Non"</formula1>
    </dataValidation>
    <dataValidation type="list" allowBlank="1" showInputMessage="1" showErrorMessage="1" sqref="H1" xr:uid="{0C311733-9EC0-403D-BB50-07179E4B2984}">
      <formula1>LPays</formula1>
    </dataValidation>
    <dataValidation type="list" allowBlank="1" showInputMessage="1" showErrorMessage="1" sqref="D1" xr:uid="{6E0F4BE6-38F9-4C92-A58B-2CFC6477EE9F}">
      <formula1>LMois</formula1>
    </dataValidation>
  </dataValidations>
  <hyperlinks>
    <hyperlink ref="M1" r:id="rId1" xr:uid="{8974E2BA-56B2-4E75-9D4A-8EC0FFA18800}"/>
  </hyperlinks>
  <printOptions horizontalCentered="1" verticalCentered="1"/>
  <pageMargins left="0.5" right="0.23622047244094491" top="0.5" bottom="0.5" header="0.31496062992125984" footer="0.31496062992125984"/>
  <pageSetup paperSize="9" scale="5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8CB4-8AC9-4771-B040-7864DFFF7615}">
  <sheetPr codeName="Feuil1"/>
  <dimension ref="A1:BK67"/>
  <sheetViews>
    <sheetView topLeftCell="A28" zoomScale="82" workbookViewId="0">
      <selection activeCell="A67" sqref="A67"/>
    </sheetView>
  </sheetViews>
  <sheetFormatPr baseColWidth="10" defaultRowHeight="14.25" x14ac:dyDescent="0.2"/>
  <cols>
    <col min="1" max="1" width="12.75" style="18" customWidth="1"/>
    <col min="2" max="2" width="32" customWidth="1"/>
    <col min="3" max="3" width="23.375" bestFit="1" customWidth="1"/>
    <col min="4" max="4" width="20.75" customWidth="1"/>
    <col min="5" max="6" width="19" style="2" customWidth="1"/>
    <col min="7" max="57" width="3.625" style="18" bestFit="1" customWidth="1"/>
    <col min="58" max="58" width="3.625" style="18" customWidth="1"/>
    <col min="59" max="61" width="3.625" style="18" bestFit="1" customWidth="1"/>
    <col min="63" max="63" width="16.5" bestFit="1" customWidth="1"/>
  </cols>
  <sheetData>
    <row r="1" spans="1:63" ht="123" x14ac:dyDescent="0.2">
      <c r="A1" s="2" t="s">
        <v>131</v>
      </c>
      <c r="B1" s="21" t="s">
        <v>18</v>
      </c>
      <c r="C1" s="2" t="s">
        <v>141</v>
      </c>
      <c r="D1" s="2" t="s">
        <v>142</v>
      </c>
      <c r="E1" s="21" t="s">
        <v>140</v>
      </c>
      <c r="F1" s="22" t="s">
        <v>143</v>
      </c>
      <c r="G1" s="17" t="s">
        <v>1</v>
      </c>
      <c r="H1" s="17" t="s">
        <v>34</v>
      </c>
      <c r="I1" s="17" t="s">
        <v>35</v>
      </c>
      <c r="J1" s="17" t="s">
        <v>36</v>
      </c>
      <c r="K1" s="17" t="s">
        <v>37</v>
      </c>
      <c r="L1" s="17" t="s">
        <v>38</v>
      </c>
      <c r="M1" s="17" t="s">
        <v>39</v>
      </c>
      <c r="N1" s="17" t="s">
        <v>40</v>
      </c>
      <c r="O1" s="17" t="s">
        <v>41</v>
      </c>
      <c r="P1" s="17" t="s">
        <v>42</v>
      </c>
      <c r="Q1" s="17" t="s">
        <v>19</v>
      </c>
      <c r="R1" s="17" t="s">
        <v>43</v>
      </c>
      <c r="S1" s="17" t="s">
        <v>44</v>
      </c>
      <c r="T1" s="17" t="s">
        <v>46</v>
      </c>
      <c r="U1" s="17" t="s">
        <v>47</v>
      </c>
      <c r="V1" s="17" t="s">
        <v>48</v>
      </c>
      <c r="W1" s="17" t="s">
        <v>49</v>
      </c>
      <c r="X1" s="17" t="s">
        <v>50</v>
      </c>
      <c r="Y1" s="17" t="s">
        <v>51</v>
      </c>
      <c r="Z1" s="17" t="s">
        <v>52</v>
      </c>
      <c r="AA1" s="17" t="s">
        <v>53</v>
      </c>
      <c r="AB1" s="17" t="s">
        <v>54</v>
      </c>
      <c r="AC1" s="17" t="s">
        <v>55</v>
      </c>
      <c r="AD1" s="17" t="s">
        <v>56</v>
      </c>
      <c r="AE1" s="17" t="s">
        <v>57</v>
      </c>
      <c r="AF1" s="17" t="s">
        <v>58</v>
      </c>
      <c r="AG1" s="17" t="s">
        <v>59</v>
      </c>
      <c r="AH1" s="17" t="s">
        <v>60</v>
      </c>
      <c r="AI1" s="17" t="s">
        <v>61</v>
      </c>
      <c r="AJ1" s="17" t="s">
        <v>62</v>
      </c>
      <c r="AK1" s="17" t="s">
        <v>63</v>
      </c>
      <c r="AL1" s="17" t="s">
        <v>64</v>
      </c>
      <c r="AM1" s="17" t="s">
        <v>65</v>
      </c>
      <c r="AN1" s="17" t="s">
        <v>66</v>
      </c>
      <c r="AO1" s="17" t="s">
        <v>67</v>
      </c>
      <c r="AP1" s="17" t="s">
        <v>68</v>
      </c>
      <c r="AQ1" s="17" t="s">
        <v>69</v>
      </c>
      <c r="AR1" s="17" t="s">
        <v>70</v>
      </c>
      <c r="AS1" s="17" t="s">
        <v>71</v>
      </c>
      <c r="AT1" s="17" t="s">
        <v>72</v>
      </c>
      <c r="AU1" s="17" t="s">
        <v>73</v>
      </c>
      <c r="AV1" s="17" t="s">
        <v>74</v>
      </c>
      <c r="AW1" s="17" t="s">
        <v>75</v>
      </c>
      <c r="AX1" s="17" t="s">
        <v>76</v>
      </c>
      <c r="AY1" s="17" t="s">
        <v>77</v>
      </c>
      <c r="AZ1" s="17" t="s">
        <v>78</v>
      </c>
      <c r="BA1" s="17" t="s">
        <v>79</v>
      </c>
      <c r="BB1" s="17" t="s">
        <v>80</v>
      </c>
      <c r="BC1" s="17" t="s">
        <v>81</v>
      </c>
      <c r="BD1" s="17" t="s">
        <v>82</v>
      </c>
      <c r="BE1" s="17" t="s">
        <v>83</v>
      </c>
      <c r="BF1" s="17" t="s">
        <v>84</v>
      </c>
      <c r="BG1" s="17" t="s">
        <v>85</v>
      </c>
      <c r="BH1" s="17" t="s">
        <v>86</v>
      </c>
      <c r="BI1" s="17" t="s">
        <v>87</v>
      </c>
    </row>
    <row r="2" spans="1:63" x14ac:dyDescent="0.2">
      <c r="A2" s="27">
        <f>IF(IF(HLOOKUP(Region,TJoursFeries[[#All],[France]:[Allemagne TH]],ROWS($C$1:C2),FALSE)&lt;&gt;0,C2,"")&lt;&gt;"",IF(C2&lt;Jour1Cal,IF(AND((FetesSecondaires="Non"),(F2="p")),"",D2),IF(AND(FetesSecondaires="Non",F2="p"),"",C2)),"")</f>
        <v>44562</v>
      </c>
      <c r="B2" t="s">
        <v>20</v>
      </c>
      <c r="C2" s="20">
        <f>DATE(Annee,1,1)</f>
        <v>44562</v>
      </c>
      <c r="D2" s="20">
        <f>DATE((Annee+1),1,1)</f>
        <v>44927</v>
      </c>
      <c r="E2"/>
      <c r="F2" s="2" t="s">
        <v>134</v>
      </c>
      <c r="G2" s="18" t="s">
        <v>88</v>
      </c>
      <c r="H2" s="18" t="s">
        <v>88</v>
      </c>
      <c r="I2" s="18" t="s">
        <v>88</v>
      </c>
      <c r="J2" s="18" t="s">
        <v>88</v>
      </c>
      <c r="K2" s="18" t="s">
        <v>88</v>
      </c>
      <c r="L2" s="18" t="s">
        <v>88</v>
      </c>
      <c r="M2" s="18" t="s">
        <v>88</v>
      </c>
      <c r="N2" s="18" t="s">
        <v>88</v>
      </c>
      <c r="O2" s="18" t="s">
        <v>88</v>
      </c>
      <c r="P2" s="18" t="s">
        <v>88</v>
      </c>
      <c r="Q2" s="18" t="s">
        <v>88</v>
      </c>
      <c r="R2" s="18" t="s">
        <v>88</v>
      </c>
      <c r="S2" s="18" t="s">
        <v>88</v>
      </c>
      <c r="T2" s="18" t="s">
        <v>88</v>
      </c>
      <c r="U2" s="18" t="s">
        <v>88</v>
      </c>
      <c r="V2" s="18" t="s">
        <v>88</v>
      </c>
      <c r="W2" s="18" t="s">
        <v>88</v>
      </c>
      <c r="X2" s="18" t="s">
        <v>88</v>
      </c>
      <c r="Y2" s="18" t="s">
        <v>88</v>
      </c>
      <c r="Z2" s="18" t="s">
        <v>88</v>
      </c>
      <c r="AA2" s="18" t="s">
        <v>88</v>
      </c>
      <c r="AB2" s="18" t="s">
        <v>88</v>
      </c>
      <c r="AC2" s="18" t="s">
        <v>88</v>
      </c>
      <c r="AD2" s="18" t="s">
        <v>88</v>
      </c>
      <c r="AE2" s="18" t="s">
        <v>88</v>
      </c>
      <c r="AF2" s="18" t="s">
        <v>88</v>
      </c>
      <c r="AG2" s="18" t="s">
        <v>88</v>
      </c>
      <c r="AI2" s="18" t="s">
        <v>88</v>
      </c>
      <c r="AJ2" s="18" t="s">
        <v>88</v>
      </c>
      <c r="AK2" s="18" t="s">
        <v>88</v>
      </c>
      <c r="AL2" s="18" t="s">
        <v>88</v>
      </c>
      <c r="AM2" s="18" t="s">
        <v>88</v>
      </c>
      <c r="AN2" s="18" t="s">
        <v>88</v>
      </c>
      <c r="AO2" s="18" t="s">
        <v>88</v>
      </c>
      <c r="AP2" s="18" t="s">
        <v>88</v>
      </c>
      <c r="AQ2" s="18" t="s">
        <v>88</v>
      </c>
      <c r="AR2" s="18" t="s">
        <v>88</v>
      </c>
      <c r="AS2" s="18" t="s">
        <v>88</v>
      </c>
      <c r="AT2" s="18" t="s">
        <v>88</v>
      </c>
      <c r="AU2" s="18" t="s">
        <v>88</v>
      </c>
      <c r="AV2" s="18" t="s">
        <v>88</v>
      </c>
      <c r="AW2" s="18" t="s">
        <v>88</v>
      </c>
      <c r="AX2" s="18" t="s">
        <v>88</v>
      </c>
      <c r="AY2" s="18" t="s">
        <v>88</v>
      </c>
      <c r="AZ2" s="18" t="s">
        <v>88</v>
      </c>
      <c r="BA2" s="18" t="s">
        <v>88</v>
      </c>
      <c r="BB2" s="18" t="s">
        <v>88</v>
      </c>
      <c r="BC2" s="18" t="s">
        <v>88</v>
      </c>
      <c r="BD2" s="18" t="s">
        <v>88</v>
      </c>
      <c r="BE2" s="18" t="s">
        <v>88</v>
      </c>
      <c r="BF2" s="18" t="s">
        <v>88</v>
      </c>
      <c r="BG2" s="18" t="s">
        <v>88</v>
      </c>
      <c r="BH2" s="18" t="s">
        <v>88</v>
      </c>
      <c r="BI2" s="18" t="s">
        <v>88</v>
      </c>
      <c r="BJ2" t="str">
        <f t="array" ref="BJ2">IFERROR(INDEX(TJoursFeries[A afficher],SMALL(IF(NOT(ISBLANK(TJoursFeries[A afficher])),ROW(TJoursFeries[A afficher])),)),"")</f>
        <v/>
      </c>
      <c r="BK2" s="1"/>
    </row>
    <row r="3" spans="1:63" x14ac:dyDescent="0.2">
      <c r="A3" s="27" t="str">
        <f>IF(IF(HLOOKUP(Region,TJoursFeries[[#All],[France]:[Allemagne TH]],ROWS($C$1:C3),FALSE)&lt;&gt;0,C3,"")&lt;&gt;"",IF(C3&lt;Jour1Cal,IF(AND((FetesSecondaires="Non"),(F3="p")),"",D3),IF(AND(FetesSecondaires="Non",F3="p"),"",C3)),"")</f>
        <v/>
      </c>
      <c r="B3" t="s">
        <v>30</v>
      </c>
      <c r="C3" s="20">
        <f xml:space="preserve"> FLOOR(DAY(MINUTE(Annee/38)/2+56)&amp;"/5/"&amp;Annee,7)-36</f>
        <v>44666</v>
      </c>
      <c r="D3" s="20">
        <f xml:space="preserve"> FLOOR(DAY(MINUTE((Annee+1)/38)/2+56)&amp;"/5/"&amp;(Annee+1),7)-36</f>
        <v>45023</v>
      </c>
      <c r="E3"/>
      <c r="F3" s="2" t="s">
        <v>134</v>
      </c>
      <c r="H3" s="18" t="s">
        <v>88</v>
      </c>
      <c r="J3" s="18" t="s">
        <v>88</v>
      </c>
      <c r="K3" s="18" t="s">
        <v>88</v>
      </c>
      <c r="L3" s="18" t="s">
        <v>88</v>
      </c>
      <c r="M3" s="18" t="s">
        <v>88</v>
      </c>
      <c r="S3" s="18" t="s">
        <v>88</v>
      </c>
      <c r="T3" s="18" t="s">
        <v>88</v>
      </c>
      <c r="U3" s="18" t="s">
        <v>88</v>
      </c>
      <c r="V3" s="18" t="s">
        <v>88</v>
      </c>
      <c r="W3" s="18" t="s">
        <v>88</v>
      </c>
      <c r="X3" s="18" t="s">
        <v>88</v>
      </c>
      <c r="Y3" s="18" t="s">
        <v>88</v>
      </c>
      <c r="Z3" s="18" t="s">
        <v>88</v>
      </c>
      <c r="AA3" s="18" t="s">
        <v>88</v>
      </c>
      <c r="AB3" s="18" t="s">
        <v>88</v>
      </c>
      <c r="AC3" s="18" t="s">
        <v>88</v>
      </c>
      <c r="AD3" s="18" t="s">
        <v>88</v>
      </c>
      <c r="AE3" s="18" t="s">
        <v>88</v>
      </c>
      <c r="AF3" s="18" t="s">
        <v>88</v>
      </c>
      <c r="AG3" s="18" t="s">
        <v>88</v>
      </c>
      <c r="AH3" s="18" t="s">
        <v>88</v>
      </c>
      <c r="AI3" s="18" t="s">
        <v>88</v>
      </c>
      <c r="AJ3" s="18" t="s">
        <v>88</v>
      </c>
      <c r="AK3" s="18" t="s">
        <v>88</v>
      </c>
      <c r="AL3" s="18" t="s">
        <v>88</v>
      </c>
      <c r="AM3" s="18" t="s">
        <v>88</v>
      </c>
      <c r="AO3" s="18" t="s">
        <v>88</v>
      </c>
      <c r="AP3" s="18" t="s">
        <v>88</v>
      </c>
      <c r="AR3" s="18" t="s">
        <v>88</v>
      </c>
      <c r="AS3" s="18" t="s">
        <v>88</v>
      </c>
      <c r="AT3" s="18" t="s">
        <v>88</v>
      </c>
      <c r="AU3" s="18" t="s">
        <v>88</v>
      </c>
      <c r="AV3" s="18" t="s">
        <v>88</v>
      </c>
      <c r="AW3" s="18" t="s">
        <v>88</v>
      </c>
      <c r="AX3" s="18" t="s">
        <v>88</v>
      </c>
      <c r="AY3" s="18" t="s">
        <v>88</v>
      </c>
      <c r="AZ3" s="18" t="s">
        <v>88</v>
      </c>
      <c r="BA3" s="18" t="s">
        <v>88</v>
      </c>
      <c r="BB3" s="18" t="s">
        <v>88</v>
      </c>
      <c r="BC3" s="18" t="s">
        <v>88</v>
      </c>
      <c r="BD3" s="18" t="s">
        <v>88</v>
      </c>
      <c r="BE3" s="18" t="s">
        <v>88</v>
      </c>
      <c r="BF3" s="18" t="s">
        <v>88</v>
      </c>
      <c r="BG3" s="18" t="s">
        <v>88</v>
      </c>
      <c r="BH3" s="18" t="s">
        <v>88</v>
      </c>
      <c r="BI3" s="18" t="s">
        <v>88</v>
      </c>
      <c r="BK3" s="1"/>
    </row>
    <row r="4" spans="1:63" x14ac:dyDescent="0.2">
      <c r="A4" s="27" t="str">
        <f>IF(IF(HLOOKUP(Region,TJoursFeries[[#All],[France]:[Allemagne TH]],ROWS($C$1:C4),FALSE)&lt;&gt;0,C4,"")&lt;&gt;"",IF(C4&lt;Jour1Cal,IF(AND((FetesSecondaires="Non"),(F4="p")),"",D4),IF(AND(FetesSecondaires="Non",F4="p"),"",C4)),"")</f>
        <v/>
      </c>
      <c r="B4" t="s">
        <v>89</v>
      </c>
      <c r="C4" s="20" t="str">
        <f>IF(C5=C8,C5,"")</f>
        <v/>
      </c>
      <c r="D4" s="20" t="str">
        <f>IF(D5=D8,D5,"")</f>
        <v/>
      </c>
      <c r="E4"/>
      <c r="F4" s="2" t="s">
        <v>133</v>
      </c>
      <c r="G4" s="18" t="s">
        <v>88</v>
      </c>
      <c r="H4" s="18" t="s">
        <v>88</v>
      </c>
      <c r="Q4" s="18" t="s">
        <v>88</v>
      </c>
      <c r="R4" s="18" t="s">
        <v>88</v>
      </c>
      <c r="T4" s="18" t="s">
        <v>88</v>
      </c>
      <c r="U4" s="18" t="s">
        <v>88</v>
      </c>
      <c r="V4" s="18" t="s">
        <v>88</v>
      </c>
      <c r="W4" s="18" t="s">
        <v>88</v>
      </c>
      <c r="X4" s="18" t="s">
        <v>88</v>
      </c>
      <c r="Y4" s="18" t="s">
        <v>88</v>
      </c>
      <c r="Z4" s="18" t="s">
        <v>88</v>
      </c>
      <c r="AA4" s="18" t="s">
        <v>88</v>
      </c>
      <c r="AB4" s="18" t="s">
        <v>88</v>
      </c>
      <c r="AC4" s="18" t="s">
        <v>88</v>
      </c>
      <c r="AD4" s="18" t="s">
        <v>88</v>
      </c>
      <c r="AE4" s="18" t="s">
        <v>88</v>
      </c>
      <c r="AF4" s="18" t="s">
        <v>88</v>
      </c>
      <c r="AG4" s="18" t="s">
        <v>88</v>
      </c>
      <c r="AH4" s="18" t="s">
        <v>88</v>
      </c>
      <c r="AI4" s="18" t="s">
        <v>88</v>
      </c>
      <c r="AJ4" s="18" t="s">
        <v>88</v>
      </c>
      <c r="AK4" s="18" t="s">
        <v>88</v>
      </c>
      <c r="AL4" s="18" t="s">
        <v>88</v>
      </c>
      <c r="AM4" s="18" t="s">
        <v>88</v>
      </c>
      <c r="AN4" s="18" t="s">
        <v>88</v>
      </c>
      <c r="AO4" s="18" t="s">
        <v>88</v>
      </c>
      <c r="AP4" s="18" t="s">
        <v>88</v>
      </c>
      <c r="AQ4" s="18" t="s">
        <v>88</v>
      </c>
      <c r="AR4" s="18" t="s">
        <v>88</v>
      </c>
      <c r="AS4" s="18" t="s">
        <v>88</v>
      </c>
      <c r="AT4" s="18" t="s">
        <v>88</v>
      </c>
      <c r="AU4" s="18" t="s">
        <v>88</v>
      </c>
      <c r="AV4" s="18" t="s">
        <v>88</v>
      </c>
      <c r="AW4" s="18" t="s">
        <v>88</v>
      </c>
      <c r="AX4" s="18" t="s">
        <v>88</v>
      </c>
      <c r="AY4" s="18" t="s">
        <v>88</v>
      </c>
      <c r="AZ4" s="18" t="s">
        <v>88</v>
      </c>
      <c r="BA4" s="18" t="s">
        <v>88</v>
      </c>
      <c r="BB4" s="18" t="s">
        <v>88</v>
      </c>
      <c r="BC4" s="18" t="s">
        <v>88</v>
      </c>
      <c r="BD4" s="18" t="s">
        <v>88</v>
      </c>
      <c r="BE4" s="18" t="s">
        <v>88</v>
      </c>
      <c r="BF4" s="18" t="s">
        <v>88</v>
      </c>
      <c r="BG4" s="18" t="s">
        <v>88</v>
      </c>
      <c r="BH4" s="18" t="s">
        <v>88</v>
      </c>
      <c r="BI4" s="18" t="s">
        <v>88</v>
      </c>
      <c r="BK4" s="1"/>
    </row>
    <row r="5" spans="1:63" x14ac:dyDescent="0.2">
      <c r="A5" s="27" t="str">
        <f>IF(IF(HLOOKUP(Region,TJoursFeries[[#All],[France]:[Allemagne TH]],ROWS($C$1:C5),FALSE)&lt;&gt;0,C5,"")&lt;&gt;"",IF(C5&lt;Jour1Cal,IF(AND((FetesSecondaires="Non"),(F5="p")),"",D5),IF(AND(FetesSecondaires="Non",F5="p"),"",C5)),"")</f>
        <v/>
      </c>
      <c r="B5" t="s">
        <v>132</v>
      </c>
      <c r="C5" s="20">
        <f>DATE(Annee,4,1)-WEEKDAY(DATE(Annee,3,31))</f>
        <v>44647</v>
      </c>
      <c r="D5" s="20">
        <f>DATE((Annee+1),4,1)-WEEKDAY(DATE((Annee+1),3,31))</f>
        <v>45011</v>
      </c>
      <c r="E5"/>
      <c r="F5" s="2" t="s">
        <v>133</v>
      </c>
      <c r="G5" s="18" t="s">
        <v>88</v>
      </c>
      <c r="H5" s="18" t="s">
        <v>88</v>
      </c>
      <c r="Q5" s="18" t="s">
        <v>88</v>
      </c>
      <c r="R5" s="18" t="s">
        <v>88</v>
      </c>
      <c r="T5" s="18" t="s">
        <v>88</v>
      </c>
      <c r="U5" s="18" t="s">
        <v>88</v>
      </c>
      <c r="V5" s="18" t="s">
        <v>88</v>
      </c>
      <c r="W5" s="18" t="s">
        <v>88</v>
      </c>
      <c r="X5" s="18" t="s">
        <v>88</v>
      </c>
      <c r="Y5" s="18" t="s">
        <v>88</v>
      </c>
      <c r="Z5" s="18" t="s">
        <v>88</v>
      </c>
      <c r="AA5" s="18" t="s">
        <v>88</v>
      </c>
      <c r="AB5" s="18" t="s">
        <v>88</v>
      </c>
      <c r="AC5" s="18" t="s">
        <v>88</v>
      </c>
      <c r="AD5" s="18" t="s">
        <v>88</v>
      </c>
      <c r="AE5" s="18" t="s">
        <v>88</v>
      </c>
      <c r="AF5" s="18" t="s">
        <v>88</v>
      </c>
      <c r="AG5" s="18" t="s">
        <v>88</v>
      </c>
      <c r="AH5" s="18" t="s">
        <v>88</v>
      </c>
      <c r="AI5" s="18" t="s">
        <v>88</v>
      </c>
      <c r="AJ5" s="18" t="s">
        <v>88</v>
      </c>
      <c r="AK5" s="18" t="s">
        <v>88</v>
      </c>
      <c r="AL5" s="18" t="s">
        <v>88</v>
      </c>
      <c r="AM5" s="18" t="s">
        <v>88</v>
      </c>
      <c r="AN5" s="18" t="s">
        <v>88</v>
      </c>
      <c r="AO5" s="18" t="s">
        <v>88</v>
      </c>
      <c r="AP5" s="18" t="s">
        <v>88</v>
      </c>
      <c r="AQ5" s="18" t="s">
        <v>88</v>
      </c>
      <c r="AR5" s="18" t="s">
        <v>88</v>
      </c>
      <c r="AS5" s="18" t="s">
        <v>88</v>
      </c>
      <c r="AT5" s="18" t="s">
        <v>88</v>
      </c>
      <c r="AU5" s="18" t="s">
        <v>88</v>
      </c>
      <c r="AV5" s="18" t="s">
        <v>88</v>
      </c>
      <c r="AW5" s="18" t="s">
        <v>88</v>
      </c>
      <c r="AX5" s="18" t="s">
        <v>88</v>
      </c>
      <c r="AY5" s="18" t="s">
        <v>88</v>
      </c>
      <c r="AZ5" s="18" t="s">
        <v>88</v>
      </c>
      <c r="BA5" s="18" t="s">
        <v>88</v>
      </c>
      <c r="BB5" s="18" t="s">
        <v>88</v>
      </c>
      <c r="BC5" s="18" t="s">
        <v>88</v>
      </c>
      <c r="BD5" s="18" t="s">
        <v>88</v>
      </c>
      <c r="BE5" s="18" t="s">
        <v>88</v>
      </c>
      <c r="BF5" s="18" t="s">
        <v>88</v>
      </c>
      <c r="BG5" s="18" t="s">
        <v>88</v>
      </c>
      <c r="BH5" s="18" t="s">
        <v>88</v>
      </c>
      <c r="BI5" s="18" t="s">
        <v>88</v>
      </c>
      <c r="BK5" s="1"/>
    </row>
    <row r="6" spans="1:63" x14ac:dyDescent="0.2">
      <c r="A6" s="27" t="str">
        <f>IF(IF(HLOOKUP(Region,TJoursFeries[[#All],[France]:[Allemagne TH]],ROWS($C$1:C6),FALSE)&lt;&gt;0,C6,"")&lt;&gt;"",IF(C6&lt;Jour1Cal,IF(AND((FetesSecondaires="Non"),(F6="p")),"",D6),IF(AND(FetesSecondaires="Non",F6="p"),"",C6)),"")</f>
        <v/>
      </c>
      <c r="B6" t="s">
        <v>89</v>
      </c>
      <c r="C6" s="20" t="str">
        <f>IF(C7=C8,C7,"")</f>
        <v/>
      </c>
      <c r="D6" s="20" t="str">
        <f>IF(D7=D8,D7,"")</f>
        <v/>
      </c>
      <c r="E6" t="s">
        <v>90</v>
      </c>
      <c r="F6" s="2" t="s">
        <v>133</v>
      </c>
      <c r="P6" s="18" t="s">
        <v>88</v>
      </c>
      <c r="S6" s="18" t="s">
        <v>88</v>
      </c>
      <c r="BK6" s="1"/>
    </row>
    <row r="7" spans="1:63" x14ac:dyDescent="0.2">
      <c r="A7" s="27" t="str">
        <f>IF(IF(HLOOKUP(Region,TJoursFeries[[#All],[France]:[Allemagne TH]],ROWS($C$1:C7),FALSE)&lt;&gt;0,C7,"")&lt;&gt;"",IF(C7&lt;Jour1Cal,IF(AND((FetesSecondaires="Non"),(F7="p")),"",D7),IF(AND(FetesSecondaires="Non",F7="p"),"",C7)),"")</f>
        <v/>
      </c>
      <c r="B7" t="s">
        <v>132</v>
      </c>
      <c r="C7" s="20">
        <f>DATE(Annee,3,15)-WEEKDAY(DATE(Annee,3,7))</f>
        <v>44633</v>
      </c>
      <c r="D7" s="20">
        <f>DATE((Annee+1),3,15)-WEEKDAY(DATE((Annee+1),3,7))</f>
        <v>44997</v>
      </c>
      <c r="E7" t="s">
        <v>90</v>
      </c>
      <c r="F7" s="2" t="s">
        <v>133</v>
      </c>
      <c r="P7" s="18" t="s">
        <v>88</v>
      </c>
      <c r="S7" s="18" t="s">
        <v>88</v>
      </c>
      <c r="BK7" s="1"/>
    </row>
    <row r="8" spans="1:63" x14ac:dyDescent="0.2">
      <c r="A8" s="27">
        <f>IF(IF(HLOOKUP(Region,TJoursFeries[[#All],[France]:[Allemagne TH]],ROWS($C$1:C8),FALSE)&lt;&gt;0,C8,"")&lt;&gt;"",IF(C8&lt;Jour1Cal,IF(AND((FetesSecondaires="Non"),(F8="p")),"",D8),IF(AND(FetesSecondaires="Non",F8="p"),"",C8)),"")</f>
        <v>44668</v>
      </c>
      <c r="B8" t="s">
        <v>21</v>
      </c>
      <c r="C8" s="20">
        <f xml:space="preserve"> FLOOR(DAY(MINUTE(Annee/38)/2+56)&amp;"/5/"&amp;Annee,7)-34</f>
        <v>44668</v>
      </c>
      <c r="D8" s="20">
        <f xml:space="preserve"> FLOOR(DAY(MINUTE((Annee+1)/38)/2+56)&amp;"/5/"&amp;(Annee+1),7)-34</f>
        <v>45025</v>
      </c>
      <c r="E8"/>
      <c r="F8" s="2" t="s">
        <v>134</v>
      </c>
      <c r="G8" s="18" t="s">
        <v>88</v>
      </c>
      <c r="H8" s="18" t="s">
        <v>88</v>
      </c>
      <c r="I8" s="18" t="s">
        <v>88</v>
      </c>
      <c r="J8" s="18" t="s">
        <v>88</v>
      </c>
      <c r="K8" s="18" t="s">
        <v>88</v>
      </c>
      <c r="L8" s="18" t="s">
        <v>88</v>
      </c>
      <c r="M8" s="18" t="s">
        <v>88</v>
      </c>
      <c r="N8" s="18" t="s">
        <v>88</v>
      </c>
      <c r="O8" s="18" t="s">
        <v>88</v>
      </c>
      <c r="P8" s="18" t="s">
        <v>88</v>
      </c>
      <c r="Q8" s="18" t="s">
        <v>88</v>
      </c>
      <c r="R8" s="18" t="s">
        <v>88</v>
      </c>
      <c r="S8" s="18" t="s">
        <v>88</v>
      </c>
      <c r="T8" s="18" t="s">
        <v>88</v>
      </c>
      <c r="U8" s="18" t="s">
        <v>88</v>
      </c>
      <c r="V8" s="18" t="s">
        <v>88</v>
      </c>
      <c r="W8" s="18" t="s">
        <v>88</v>
      </c>
      <c r="X8" s="18" t="s">
        <v>88</v>
      </c>
      <c r="Y8" s="18" t="s">
        <v>88</v>
      </c>
      <c r="Z8" s="18" t="s">
        <v>88</v>
      </c>
      <c r="AA8" s="18" t="s">
        <v>88</v>
      </c>
      <c r="AB8" s="18" t="s">
        <v>88</v>
      </c>
      <c r="AC8" s="18" t="s">
        <v>88</v>
      </c>
      <c r="AD8" s="18" t="s">
        <v>88</v>
      </c>
      <c r="AE8" s="18" t="s">
        <v>88</v>
      </c>
      <c r="AF8" s="18" t="s">
        <v>88</v>
      </c>
      <c r="AG8" s="18" t="s">
        <v>88</v>
      </c>
      <c r="AH8" s="18" t="s">
        <v>88</v>
      </c>
      <c r="AI8" s="18" t="s">
        <v>88</v>
      </c>
      <c r="AJ8" s="18" t="s">
        <v>88</v>
      </c>
      <c r="AK8" s="18" t="s">
        <v>88</v>
      </c>
      <c r="AL8" s="18" t="s">
        <v>88</v>
      </c>
      <c r="AM8" s="18" t="s">
        <v>88</v>
      </c>
      <c r="AN8" s="18" t="s">
        <v>88</v>
      </c>
      <c r="AO8" s="18" t="s">
        <v>88</v>
      </c>
      <c r="AP8" s="18" t="s">
        <v>88</v>
      </c>
      <c r="AQ8" s="18" t="s">
        <v>88</v>
      </c>
      <c r="AR8" s="18" t="s">
        <v>88</v>
      </c>
      <c r="AS8" s="18" t="s">
        <v>88</v>
      </c>
      <c r="AT8" s="18" t="s">
        <v>88</v>
      </c>
      <c r="AU8" s="18" t="s">
        <v>88</v>
      </c>
      <c r="AV8" s="18" t="s">
        <v>88</v>
      </c>
      <c r="AW8" s="18" t="s">
        <v>88</v>
      </c>
      <c r="AX8" s="18" t="s">
        <v>88</v>
      </c>
      <c r="AY8" s="18" t="s">
        <v>88</v>
      </c>
      <c r="AZ8" s="18" t="s">
        <v>88</v>
      </c>
      <c r="BA8" s="18" t="s">
        <v>88</v>
      </c>
      <c r="BB8" s="18" t="s">
        <v>88</v>
      </c>
      <c r="BC8" s="18" t="s">
        <v>88</v>
      </c>
      <c r="BD8" s="18" t="s">
        <v>88</v>
      </c>
      <c r="BE8" s="18" t="s">
        <v>88</v>
      </c>
      <c r="BF8" s="18" t="s">
        <v>88</v>
      </c>
      <c r="BG8" s="18" t="s">
        <v>88</v>
      </c>
      <c r="BH8" s="18" t="s">
        <v>88</v>
      </c>
      <c r="BI8" s="18" t="s">
        <v>88</v>
      </c>
      <c r="BK8" s="1"/>
    </row>
    <row r="9" spans="1:63" x14ac:dyDescent="0.2">
      <c r="A9" s="27">
        <f>IF(IF(HLOOKUP(Region,TJoursFeries[[#All],[France]:[Allemagne TH]],ROWS($C$1:C9),FALSE)&lt;&gt;0,C9,"")&lt;&gt;"",IF(C9&lt;Jour1Cal,IF(AND((FetesSecondaires="Non"),(F9="p")),"",D9),IF(AND(FetesSecondaires="Non",F9="p"),"",C9)),"")</f>
        <v>44669</v>
      </c>
      <c r="B9" t="s">
        <v>22</v>
      </c>
      <c r="C9" s="20">
        <f>C8+1</f>
        <v>44669</v>
      </c>
      <c r="D9" s="20">
        <f>D8+1</f>
        <v>45026</v>
      </c>
      <c r="E9"/>
      <c r="F9" s="2" t="s">
        <v>134</v>
      </c>
      <c r="G9" s="18" t="s">
        <v>88</v>
      </c>
      <c r="H9" s="18" t="s">
        <v>88</v>
      </c>
      <c r="I9" s="18" t="s">
        <v>88</v>
      </c>
      <c r="J9" s="18" t="s">
        <v>88</v>
      </c>
      <c r="K9" s="18" t="s">
        <v>88</v>
      </c>
      <c r="L9" s="18" t="s">
        <v>88</v>
      </c>
      <c r="M9" s="18" t="s">
        <v>88</v>
      </c>
      <c r="N9" s="18" t="s">
        <v>88</v>
      </c>
      <c r="O9" s="18" t="s">
        <v>88</v>
      </c>
      <c r="P9" s="18" t="s">
        <v>88</v>
      </c>
      <c r="Q9" s="18" t="s">
        <v>88</v>
      </c>
      <c r="R9" s="18" t="s">
        <v>88</v>
      </c>
      <c r="S9" s="18" t="s">
        <v>88</v>
      </c>
      <c r="T9" s="18" t="s">
        <v>88</v>
      </c>
      <c r="U9" s="18" t="s">
        <v>88</v>
      </c>
      <c r="V9" s="18" t="s">
        <v>88</v>
      </c>
      <c r="W9" s="18" t="s">
        <v>88</v>
      </c>
      <c r="X9" s="18" t="s">
        <v>88</v>
      </c>
      <c r="Y9" s="18" t="s">
        <v>88</v>
      </c>
      <c r="AA9" s="18" t="s">
        <v>88</v>
      </c>
      <c r="AB9" s="18" t="s">
        <v>88</v>
      </c>
      <c r="AC9" s="18" t="s">
        <v>88</v>
      </c>
      <c r="AD9" s="18" t="s">
        <v>88</v>
      </c>
      <c r="AI9" s="18" t="s">
        <v>88</v>
      </c>
      <c r="AJ9" s="18" t="s">
        <v>88</v>
      </c>
      <c r="AM9" s="18" t="s">
        <v>88</v>
      </c>
      <c r="AN9" s="18" t="s">
        <v>88</v>
      </c>
      <c r="AP9" s="18" t="s">
        <v>88</v>
      </c>
      <c r="AS9" s="18" t="s">
        <v>88</v>
      </c>
      <c r="AT9" s="18" t="s">
        <v>88</v>
      </c>
      <c r="AU9" s="18" t="s">
        <v>88</v>
      </c>
      <c r="AV9" s="18" t="s">
        <v>88</v>
      </c>
      <c r="AW9" s="18" t="s">
        <v>88</v>
      </c>
      <c r="AX9" s="18" t="s">
        <v>88</v>
      </c>
      <c r="AY9" s="18" t="s">
        <v>88</v>
      </c>
      <c r="AZ9" s="18" t="s">
        <v>88</v>
      </c>
      <c r="BA9" s="18" t="s">
        <v>88</v>
      </c>
      <c r="BB9" s="18" t="s">
        <v>88</v>
      </c>
      <c r="BC9" s="18" t="s">
        <v>88</v>
      </c>
      <c r="BD9" s="18" t="s">
        <v>88</v>
      </c>
      <c r="BE9" s="18" t="s">
        <v>88</v>
      </c>
      <c r="BF9" s="18" t="s">
        <v>88</v>
      </c>
      <c r="BG9" s="18" t="s">
        <v>88</v>
      </c>
      <c r="BH9" s="18" t="s">
        <v>88</v>
      </c>
      <c r="BI9" s="18" t="s">
        <v>88</v>
      </c>
      <c r="BK9" s="1"/>
    </row>
    <row r="10" spans="1:63" x14ac:dyDescent="0.2">
      <c r="A10" s="27">
        <f>IF(IF(HLOOKUP(Region,TJoursFeries[[#All],[France]:[Allemagne TH]],ROWS($C$1:C10),FALSE)&lt;&gt;0,C10,"")&lt;&gt;"",IF(C10&lt;Jour1Cal,IF(AND((FetesSecondaires="Non"),(F10="p")),"",D10),IF(AND(FetesSecondaires="Non",F10="p"),"",C10)),"")</f>
        <v>44707</v>
      </c>
      <c r="B10" t="s">
        <v>23</v>
      </c>
      <c r="C10" s="20">
        <f>C8+39</f>
        <v>44707</v>
      </c>
      <c r="D10" s="20">
        <f>D8+39</f>
        <v>45064</v>
      </c>
      <c r="E10"/>
      <c r="F10" s="2" t="s">
        <v>134</v>
      </c>
      <c r="G10" s="18" t="s">
        <v>88</v>
      </c>
      <c r="H10" s="18" t="s">
        <v>88</v>
      </c>
      <c r="I10" s="18" t="s">
        <v>88</v>
      </c>
      <c r="J10" s="18" t="s">
        <v>88</v>
      </c>
      <c r="K10" s="18" t="s">
        <v>88</v>
      </c>
      <c r="L10" s="18" t="s">
        <v>88</v>
      </c>
      <c r="M10" s="18" t="s">
        <v>88</v>
      </c>
      <c r="N10" s="18" t="s">
        <v>88</v>
      </c>
      <c r="O10" s="18" t="s">
        <v>88</v>
      </c>
      <c r="P10" s="18" t="s">
        <v>88</v>
      </c>
      <c r="Q10" s="18" t="s">
        <v>88</v>
      </c>
      <c r="R10" s="18" t="s">
        <v>88</v>
      </c>
      <c r="T10" s="18" t="s">
        <v>88</v>
      </c>
      <c r="U10" s="18" t="s">
        <v>88</v>
      </c>
      <c r="V10" s="18" t="s">
        <v>88</v>
      </c>
      <c r="W10" s="18" t="s">
        <v>88</v>
      </c>
      <c r="X10" s="18" t="s">
        <v>88</v>
      </c>
      <c r="Y10" s="18" t="s">
        <v>88</v>
      </c>
      <c r="Z10" s="18" t="s">
        <v>88</v>
      </c>
      <c r="AA10" s="18" t="s">
        <v>88</v>
      </c>
      <c r="AB10" s="18" t="s">
        <v>88</v>
      </c>
      <c r="AC10" s="18" t="s">
        <v>88</v>
      </c>
      <c r="AD10" s="18" t="s">
        <v>88</v>
      </c>
      <c r="AE10" s="18" t="s">
        <v>88</v>
      </c>
      <c r="AF10" s="18" t="s">
        <v>88</v>
      </c>
      <c r="AG10" s="18" t="s">
        <v>88</v>
      </c>
      <c r="AH10" s="18" t="s">
        <v>88</v>
      </c>
      <c r="AI10" s="18" t="s">
        <v>88</v>
      </c>
      <c r="AJ10" s="18" t="s">
        <v>88</v>
      </c>
      <c r="AK10" s="18" t="s">
        <v>88</v>
      </c>
      <c r="AL10" s="18" t="s">
        <v>88</v>
      </c>
      <c r="AM10" s="18" t="s">
        <v>88</v>
      </c>
      <c r="AN10" s="18" t="s">
        <v>88</v>
      </c>
      <c r="AO10" s="18" t="s">
        <v>88</v>
      </c>
      <c r="AP10" s="18" t="s">
        <v>88</v>
      </c>
      <c r="AQ10" s="18" t="s">
        <v>88</v>
      </c>
      <c r="AR10" s="18" t="s">
        <v>88</v>
      </c>
      <c r="AS10" s="18" t="s">
        <v>88</v>
      </c>
      <c r="AT10" s="18" t="s">
        <v>88</v>
      </c>
      <c r="AU10" s="18" t="s">
        <v>88</v>
      </c>
      <c r="AV10" s="18" t="s">
        <v>88</v>
      </c>
      <c r="AW10" s="18" t="s">
        <v>88</v>
      </c>
      <c r="AX10" s="18" t="s">
        <v>88</v>
      </c>
      <c r="AY10" s="18" t="s">
        <v>88</v>
      </c>
      <c r="AZ10" s="18" t="s">
        <v>88</v>
      </c>
      <c r="BA10" s="18" t="s">
        <v>88</v>
      </c>
      <c r="BB10" s="18" t="s">
        <v>88</v>
      </c>
      <c r="BC10" s="18" t="s">
        <v>88</v>
      </c>
      <c r="BD10" s="18" t="s">
        <v>88</v>
      </c>
      <c r="BE10" s="18" t="s">
        <v>88</v>
      </c>
      <c r="BF10" s="18" t="s">
        <v>88</v>
      </c>
      <c r="BG10" s="18" t="s">
        <v>88</v>
      </c>
      <c r="BH10" s="18" t="s">
        <v>88</v>
      </c>
      <c r="BI10" s="18" t="s">
        <v>88</v>
      </c>
      <c r="BK10" s="1"/>
    </row>
    <row r="11" spans="1:63" x14ac:dyDescent="0.2">
      <c r="A11" s="27">
        <f>IF(IF(HLOOKUP(Region,TJoursFeries[[#All],[France]:[Allemagne TH]],ROWS($C$1:C11),FALSE)&lt;&gt;0,C11,"")&lt;&gt;"",IF(C11&lt;Jour1Cal,IF(AND((FetesSecondaires="Non"),(F11="p")),"",D11),IF(AND(FetesSecondaires="Non",F11="p"),"",C11)),"")</f>
        <v>44717</v>
      </c>
      <c r="B11" t="s">
        <v>24</v>
      </c>
      <c r="C11" s="20">
        <f>C8+49</f>
        <v>44717</v>
      </c>
      <c r="D11" s="20">
        <f>D8+49</f>
        <v>45074</v>
      </c>
      <c r="E11"/>
      <c r="F11" s="2" t="s">
        <v>134</v>
      </c>
      <c r="G11" s="18" t="s">
        <v>88</v>
      </c>
      <c r="H11" s="18" t="s">
        <v>88</v>
      </c>
      <c r="I11" s="18" t="s">
        <v>88</v>
      </c>
      <c r="J11" s="18" t="s">
        <v>88</v>
      </c>
      <c r="K11" s="18" t="s">
        <v>88</v>
      </c>
      <c r="L11" s="18" t="s">
        <v>88</v>
      </c>
      <c r="M11" s="18" t="s">
        <v>88</v>
      </c>
      <c r="N11" s="18" t="s">
        <v>88</v>
      </c>
      <c r="O11" s="18" t="s">
        <v>88</v>
      </c>
      <c r="P11" s="18" t="s">
        <v>88</v>
      </c>
      <c r="Q11" s="18" t="s">
        <v>88</v>
      </c>
      <c r="R11" s="18" t="s">
        <v>88</v>
      </c>
      <c r="T11" s="18" t="s">
        <v>88</v>
      </c>
      <c r="U11" s="18" t="s">
        <v>88</v>
      </c>
      <c r="V11" s="18" t="s">
        <v>88</v>
      </c>
      <c r="W11" s="18" t="s">
        <v>88</v>
      </c>
      <c r="X11" s="18" t="s">
        <v>88</v>
      </c>
      <c r="Y11" s="18" t="s">
        <v>88</v>
      </c>
      <c r="Z11" s="18" t="s">
        <v>88</v>
      </c>
      <c r="AA11" s="18" t="s">
        <v>88</v>
      </c>
      <c r="AB11" s="18" t="s">
        <v>88</v>
      </c>
      <c r="AC11" s="18" t="s">
        <v>88</v>
      </c>
      <c r="AD11" s="18" t="s">
        <v>88</v>
      </c>
      <c r="AE11" s="18" t="s">
        <v>88</v>
      </c>
      <c r="AF11" s="18" t="s">
        <v>88</v>
      </c>
      <c r="AG11" s="18" t="s">
        <v>88</v>
      </c>
      <c r="AH11" s="18" t="s">
        <v>88</v>
      </c>
      <c r="AI11" s="18" t="s">
        <v>88</v>
      </c>
      <c r="AJ11" s="18" t="s">
        <v>88</v>
      </c>
      <c r="AK11" s="18" t="s">
        <v>88</v>
      </c>
      <c r="AL11" s="18" t="s">
        <v>88</v>
      </c>
      <c r="AM11" s="18" t="s">
        <v>88</v>
      </c>
      <c r="AN11" s="18" t="s">
        <v>88</v>
      </c>
      <c r="AO11" s="18" t="s">
        <v>88</v>
      </c>
      <c r="AP11" s="18" t="s">
        <v>88</v>
      </c>
      <c r="AQ11" s="18" t="s">
        <v>88</v>
      </c>
      <c r="AR11" s="18" t="s">
        <v>88</v>
      </c>
      <c r="AS11" s="18" t="s">
        <v>88</v>
      </c>
      <c r="AT11" s="18" t="s">
        <v>88</v>
      </c>
      <c r="AU11" s="18" t="s">
        <v>88</v>
      </c>
      <c r="AV11" s="18" t="s">
        <v>88</v>
      </c>
      <c r="AW11" s="18" t="s">
        <v>88</v>
      </c>
      <c r="AX11" s="18" t="s">
        <v>88</v>
      </c>
      <c r="AY11" s="18" t="s">
        <v>88</v>
      </c>
      <c r="AZ11" s="18" t="s">
        <v>88</v>
      </c>
      <c r="BA11" s="18" t="s">
        <v>88</v>
      </c>
      <c r="BB11" s="18" t="s">
        <v>88</v>
      </c>
      <c r="BC11" s="18" t="s">
        <v>88</v>
      </c>
      <c r="BD11" s="18" t="s">
        <v>88</v>
      </c>
      <c r="BE11" s="18" t="s">
        <v>88</v>
      </c>
      <c r="BF11" s="18" t="s">
        <v>88</v>
      </c>
      <c r="BG11" s="18" t="s">
        <v>88</v>
      </c>
      <c r="BH11" s="18" t="s">
        <v>88</v>
      </c>
      <c r="BI11" s="18" t="s">
        <v>88</v>
      </c>
      <c r="BK11" s="1"/>
    </row>
    <row r="12" spans="1:63" x14ac:dyDescent="0.2">
      <c r="A12" s="27">
        <f>IF(IF(HLOOKUP(Region,TJoursFeries[[#All],[France]:[Allemagne TH]],ROWS($C$1:C12),FALSE)&lt;&gt;0,C12,"")&lt;&gt;"",IF(C12&lt;Jour1Cal,IF(AND((FetesSecondaires="Non"),(F12="p")),"",D12),IF(AND(FetesSecondaires="Non",F12="p"),"",C12)),"")</f>
        <v>44718</v>
      </c>
      <c r="B12" t="s">
        <v>25</v>
      </c>
      <c r="C12" s="20">
        <f>C11+1</f>
        <v>44718</v>
      </c>
      <c r="D12" s="20">
        <f>D11+1</f>
        <v>45075</v>
      </c>
      <c r="E12"/>
      <c r="F12" s="2" t="s">
        <v>134</v>
      </c>
      <c r="G12" s="18" t="s">
        <v>88</v>
      </c>
      <c r="H12" s="18" t="s">
        <v>88</v>
      </c>
      <c r="I12" s="18" t="s">
        <v>88</v>
      </c>
      <c r="J12" s="18" t="s">
        <v>88</v>
      </c>
      <c r="K12" s="18" t="s">
        <v>88</v>
      </c>
      <c r="L12" s="18" t="s">
        <v>88</v>
      </c>
      <c r="M12" s="18" t="s">
        <v>88</v>
      </c>
      <c r="N12" s="18" t="s">
        <v>88</v>
      </c>
      <c r="O12" s="18" t="s">
        <v>88</v>
      </c>
      <c r="P12" s="18" t="s">
        <v>88</v>
      </c>
      <c r="Q12" s="18" t="s">
        <v>88</v>
      </c>
      <c r="R12" s="18" t="s">
        <v>88</v>
      </c>
      <c r="T12" s="18" t="s">
        <v>88</v>
      </c>
      <c r="U12" s="18" t="s">
        <v>88</v>
      </c>
      <c r="V12" s="18" t="s">
        <v>88</v>
      </c>
      <c r="W12" s="18" t="s">
        <v>88</v>
      </c>
      <c r="X12" s="18" t="s">
        <v>88</v>
      </c>
      <c r="Y12" s="18" t="s">
        <v>88</v>
      </c>
      <c r="AA12" s="18" t="s">
        <v>88</v>
      </c>
      <c r="AC12" s="18" t="s">
        <v>88</v>
      </c>
      <c r="AD12" s="18" t="s">
        <v>88</v>
      </c>
      <c r="AI12" s="18" t="s">
        <v>88</v>
      </c>
      <c r="AJ12" s="18" t="s">
        <v>88</v>
      </c>
      <c r="AM12" s="18" t="s">
        <v>88</v>
      </c>
      <c r="AS12" s="18" t="s">
        <v>88</v>
      </c>
      <c r="AT12" s="18" t="s">
        <v>88</v>
      </c>
      <c r="AU12" s="18" t="s">
        <v>88</v>
      </c>
      <c r="AV12" s="18" t="s">
        <v>88</v>
      </c>
      <c r="AW12" s="18" t="s">
        <v>88</v>
      </c>
      <c r="AX12" s="18" t="s">
        <v>88</v>
      </c>
      <c r="AY12" s="18" t="s">
        <v>88</v>
      </c>
      <c r="AZ12" s="18" t="s">
        <v>88</v>
      </c>
      <c r="BA12" s="18" t="s">
        <v>88</v>
      </c>
      <c r="BB12" s="18" t="s">
        <v>88</v>
      </c>
      <c r="BC12" s="18" t="s">
        <v>88</v>
      </c>
      <c r="BD12" s="18" t="s">
        <v>88</v>
      </c>
      <c r="BE12" s="18" t="s">
        <v>88</v>
      </c>
      <c r="BF12" s="18" t="s">
        <v>88</v>
      </c>
      <c r="BG12" s="18" t="s">
        <v>88</v>
      </c>
      <c r="BH12" s="18" t="s">
        <v>88</v>
      </c>
      <c r="BI12" s="18" t="s">
        <v>88</v>
      </c>
      <c r="BK12" s="1"/>
    </row>
    <row r="13" spans="1:63" x14ac:dyDescent="0.2">
      <c r="A13" s="27">
        <f>IF(IF(HLOOKUP(Region,TJoursFeries[[#All],[France]:[Allemagne TH]],ROWS($C$1:C13),FALSE)&lt;&gt;0,C13,"")&lt;&gt;"",IF(C13&lt;Jour1Cal,IF(AND((FetesSecondaires="Non"),(F13="p")),"",D13),IF(AND(FetesSecondaires="Non",F13="p"),"",C13)),"")</f>
        <v>44682</v>
      </c>
      <c r="B13" t="s">
        <v>91</v>
      </c>
      <c r="C13" s="20">
        <f>DATE(Annee,5,1)</f>
        <v>44682</v>
      </c>
      <c r="D13" s="20">
        <f>DATE((Annee+1),5,1)</f>
        <v>45047</v>
      </c>
      <c r="E13"/>
      <c r="F13" s="2" t="s">
        <v>134</v>
      </c>
      <c r="G13" s="18" t="s">
        <v>88</v>
      </c>
      <c r="H13" s="18" t="s">
        <v>88</v>
      </c>
      <c r="I13" s="18" t="s">
        <v>88</v>
      </c>
      <c r="J13" s="18" t="s">
        <v>88</v>
      </c>
      <c r="K13" s="18" t="s">
        <v>88</v>
      </c>
      <c r="L13" s="18" t="s">
        <v>88</v>
      </c>
      <c r="M13" s="18" t="s">
        <v>88</v>
      </c>
      <c r="N13" s="18" t="s">
        <v>88</v>
      </c>
      <c r="O13" s="18" t="s">
        <v>88</v>
      </c>
      <c r="P13" s="18" t="s">
        <v>88</v>
      </c>
      <c r="Q13" s="18" t="s">
        <v>88</v>
      </c>
      <c r="R13" s="18" t="s">
        <v>88</v>
      </c>
      <c r="X13" s="18" t="s">
        <v>88</v>
      </c>
      <c r="Y13" s="18" t="s">
        <v>88</v>
      </c>
      <c r="AD13" s="18" t="s">
        <v>88</v>
      </c>
      <c r="AK13" s="18" t="s">
        <v>88</v>
      </c>
      <c r="AS13" s="18" t="s">
        <v>88</v>
      </c>
      <c r="AT13" s="18" t="s">
        <v>88</v>
      </c>
      <c r="AU13" s="18" t="s">
        <v>88</v>
      </c>
      <c r="AV13" s="18" t="s">
        <v>88</v>
      </c>
      <c r="AW13" s="18" t="s">
        <v>88</v>
      </c>
      <c r="AX13" s="18" t="s">
        <v>88</v>
      </c>
      <c r="AY13" s="18" t="s">
        <v>88</v>
      </c>
      <c r="AZ13" s="18" t="s">
        <v>88</v>
      </c>
      <c r="BA13" s="18" t="s">
        <v>88</v>
      </c>
      <c r="BB13" s="18" t="s">
        <v>88</v>
      </c>
      <c r="BC13" s="18" t="s">
        <v>88</v>
      </c>
      <c r="BD13" s="18" t="s">
        <v>88</v>
      </c>
      <c r="BE13" s="18" t="s">
        <v>88</v>
      </c>
      <c r="BF13" s="18" t="s">
        <v>88</v>
      </c>
      <c r="BG13" s="18" t="s">
        <v>88</v>
      </c>
      <c r="BH13" s="18" t="s">
        <v>88</v>
      </c>
      <c r="BI13" s="18" t="s">
        <v>88</v>
      </c>
      <c r="BK13" s="1"/>
    </row>
    <row r="14" spans="1:63" x14ac:dyDescent="0.2">
      <c r="A14" s="27">
        <f>IF(IF(HLOOKUP(Region,TJoursFeries[[#All],[France]:[Allemagne TH]],ROWS($C$1:C14),FALSE)&lt;&gt;0,C14,"")&lt;&gt;"",IF(C14&lt;Jour1Cal,IF(AND((FetesSecondaires="Non"),(F14="p")),"",D14),IF(AND(FetesSecondaires="Non",F14="p"),"",C14)),"")</f>
        <v>44689</v>
      </c>
      <c r="B14" t="s">
        <v>92</v>
      </c>
      <c r="C14" s="20">
        <f>DATE(Annee,5,8)</f>
        <v>44689</v>
      </c>
      <c r="D14" s="20">
        <f>DATE((Annee+1),5,8)</f>
        <v>45054</v>
      </c>
      <c r="E14"/>
      <c r="F14" s="2" t="s">
        <v>134</v>
      </c>
      <c r="G14" s="18" t="s">
        <v>88</v>
      </c>
      <c r="H14" s="18" t="s">
        <v>88</v>
      </c>
      <c r="I14" s="18" t="s">
        <v>88</v>
      </c>
      <c r="J14" s="18" t="s">
        <v>88</v>
      </c>
      <c r="K14" s="18" t="s">
        <v>88</v>
      </c>
      <c r="L14" s="18" t="s">
        <v>88</v>
      </c>
      <c r="M14" s="18" t="s">
        <v>88</v>
      </c>
      <c r="N14" s="18" t="s">
        <v>88</v>
      </c>
      <c r="O14" s="18" t="s">
        <v>88</v>
      </c>
      <c r="P14" s="18" t="s">
        <v>88</v>
      </c>
      <c r="BK14" s="1"/>
    </row>
    <row r="15" spans="1:63" x14ac:dyDescent="0.2">
      <c r="A15" s="27">
        <f>IF(IF(HLOOKUP(Region,TJoursFeries[[#All],[France]:[Allemagne TH]],ROWS($C$1:C15),FALSE)&lt;&gt;0,C15,"")&lt;&gt;"",IF(C15&lt;Jour1Cal,IF(AND((FetesSecondaires="Non"),(F15="p")),"",D15),IF(AND(FetesSecondaires="Non",F15="p"),"",C15)),"")</f>
        <v>44756</v>
      </c>
      <c r="B15" t="s">
        <v>93</v>
      </c>
      <c r="C15" s="20">
        <f>DATE(Annee,7,14)</f>
        <v>44756</v>
      </c>
      <c r="D15" s="20">
        <f>DATE((Annee+1),7,14)</f>
        <v>45121</v>
      </c>
      <c r="E15" t="s">
        <v>1</v>
      </c>
      <c r="F15" s="2" t="s">
        <v>134</v>
      </c>
      <c r="G15" s="18" t="s">
        <v>88</v>
      </c>
      <c r="H15" s="18" t="s">
        <v>88</v>
      </c>
      <c r="I15" s="18" t="s">
        <v>88</v>
      </c>
      <c r="J15" s="18" t="s">
        <v>88</v>
      </c>
      <c r="K15" s="18" t="s">
        <v>88</v>
      </c>
      <c r="L15" s="18" t="s">
        <v>88</v>
      </c>
      <c r="M15" s="18" t="s">
        <v>88</v>
      </c>
      <c r="N15" s="18" t="s">
        <v>88</v>
      </c>
      <c r="O15" s="18" t="s">
        <v>88</v>
      </c>
      <c r="P15" s="18" t="s">
        <v>88</v>
      </c>
      <c r="BK15" s="1"/>
    </row>
    <row r="16" spans="1:63" x14ac:dyDescent="0.2">
      <c r="A16" s="27">
        <f>IF(IF(HLOOKUP(Region,TJoursFeries[[#All],[France]:[Allemagne TH]],ROWS($C$1:C16),FALSE)&lt;&gt;0,C16,"")&lt;&gt;"",IF(C16&lt;Jour1Cal,IF(AND((FetesSecondaires="Non"),(F16="p")),"",D16),IF(AND(FetesSecondaires="Non",F16="p"),"",C16)),"")</f>
        <v>44788</v>
      </c>
      <c r="B16" t="s">
        <v>26</v>
      </c>
      <c r="C16" s="20">
        <f>DATE(Annee,8,15)</f>
        <v>44788</v>
      </c>
      <c r="D16" s="20">
        <f>DATE((Annee+1),8,15)</f>
        <v>45153</v>
      </c>
      <c r="E16"/>
      <c r="F16" s="2" t="s">
        <v>134</v>
      </c>
      <c r="G16" s="18" t="s">
        <v>88</v>
      </c>
      <c r="H16" s="18" t="s">
        <v>88</v>
      </c>
      <c r="I16" s="18" t="s">
        <v>88</v>
      </c>
      <c r="J16" s="18" t="s">
        <v>88</v>
      </c>
      <c r="K16" s="18" t="s">
        <v>88</v>
      </c>
      <c r="L16" s="18" t="s">
        <v>88</v>
      </c>
      <c r="M16" s="18" t="s">
        <v>88</v>
      </c>
      <c r="N16" s="18" t="s">
        <v>88</v>
      </c>
      <c r="O16" s="18" t="s">
        <v>88</v>
      </c>
      <c r="P16" s="18" t="s">
        <v>88</v>
      </c>
      <c r="Q16" s="18" t="s">
        <v>88</v>
      </c>
      <c r="R16" s="18" t="s">
        <v>88</v>
      </c>
      <c r="T16" s="18" t="s">
        <v>88</v>
      </c>
      <c r="Z16" s="18" t="s">
        <v>88</v>
      </c>
      <c r="AE16" s="18" t="s">
        <v>88</v>
      </c>
      <c r="AG16" s="18" t="s">
        <v>88</v>
      </c>
      <c r="AH16" s="18" t="s">
        <v>88</v>
      </c>
      <c r="AK16" s="18" t="s">
        <v>88</v>
      </c>
      <c r="AL16" s="18" t="s">
        <v>88</v>
      </c>
      <c r="AN16" s="18" t="s">
        <v>88</v>
      </c>
      <c r="AO16" s="18" t="s">
        <v>88</v>
      </c>
      <c r="AQ16" s="18" t="s">
        <v>88</v>
      </c>
      <c r="AR16" s="18" t="s">
        <v>88</v>
      </c>
      <c r="BE16" s="18" t="s">
        <v>88</v>
      </c>
      <c r="BK16" s="1"/>
    </row>
    <row r="17" spans="1:63" x14ac:dyDescent="0.2">
      <c r="A17" s="27" t="str">
        <f>IF(IF(HLOOKUP(Region,TJoursFeries[[#All],[France]:[Allemagne TH]],ROWS($C$1:C17),FALSE)&lt;&gt;0,C17,"")&lt;&gt;"",IF(C17&lt;Jour1Cal,IF(AND((FetesSecondaires="Non"),(F17="p")),"",D17),IF(AND(FetesSecondaires="Non",F17="p"),"",C17)),"")</f>
        <v/>
      </c>
      <c r="B17" t="s">
        <v>139</v>
      </c>
      <c r="C17" s="20">
        <f>DATE(Annee,11,1)-WEEKDAY(DATE(Annee,10,31))</f>
        <v>44864</v>
      </c>
      <c r="D17" s="20">
        <f>DATE((Annee+1),11,1)-WEEKDAY(DATE((Annee+1),10,31))</f>
        <v>45228</v>
      </c>
      <c r="E17"/>
      <c r="F17" s="2" t="s">
        <v>133</v>
      </c>
      <c r="G17" s="18" t="s">
        <v>88</v>
      </c>
      <c r="H17" s="18" t="s">
        <v>88</v>
      </c>
      <c r="Q17" s="18" t="s">
        <v>88</v>
      </c>
      <c r="R17" s="18" t="s">
        <v>88</v>
      </c>
      <c r="T17" s="18" t="s">
        <v>88</v>
      </c>
      <c r="U17" s="18" t="s">
        <v>88</v>
      </c>
      <c r="V17" s="18" t="s">
        <v>88</v>
      </c>
      <c r="W17" s="18" t="s">
        <v>88</v>
      </c>
      <c r="X17" s="18" t="s">
        <v>88</v>
      </c>
      <c r="Y17" s="18" t="s">
        <v>88</v>
      </c>
      <c r="Z17" s="18" t="s">
        <v>88</v>
      </c>
      <c r="AA17" s="18" t="s">
        <v>88</v>
      </c>
      <c r="AB17" s="18" t="s">
        <v>88</v>
      </c>
      <c r="AC17" s="18" t="s">
        <v>88</v>
      </c>
      <c r="AD17" s="18" t="s">
        <v>88</v>
      </c>
      <c r="AE17" s="18" t="s">
        <v>88</v>
      </c>
      <c r="AF17" s="18" t="s">
        <v>88</v>
      </c>
      <c r="AG17" s="18" t="s">
        <v>88</v>
      </c>
      <c r="AH17" s="18" t="s">
        <v>88</v>
      </c>
      <c r="AI17" s="18" t="s">
        <v>88</v>
      </c>
      <c r="AJ17" s="18" t="s">
        <v>88</v>
      </c>
      <c r="AK17" s="18" t="s">
        <v>88</v>
      </c>
      <c r="AL17" s="18" t="s">
        <v>88</v>
      </c>
      <c r="AM17" s="18" t="s">
        <v>88</v>
      </c>
      <c r="AN17" s="18" t="s">
        <v>88</v>
      </c>
      <c r="AO17" s="18" t="s">
        <v>88</v>
      </c>
      <c r="AP17" s="18" t="s">
        <v>88</v>
      </c>
      <c r="AQ17" s="18" t="s">
        <v>88</v>
      </c>
      <c r="AR17" s="18" t="s">
        <v>88</v>
      </c>
      <c r="AS17" s="18" t="s">
        <v>88</v>
      </c>
      <c r="AT17" s="18" t="s">
        <v>88</v>
      </c>
      <c r="AU17" s="18" t="s">
        <v>88</v>
      </c>
      <c r="AV17" s="18" t="s">
        <v>88</v>
      </c>
      <c r="AW17" s="18" t="s">
        <v>88</v>
      </c>
      <c r="AX17" s="18" t="s">
        <v>88</v>
      </c>
      <c r="AY17" s="18" t="s">
        <v>88</v>
      </c>
      <c r="AZ17" s="18" t="s">
        <v>88</v>
      </c>
      <c r="BA17" s="18" t="s">
        <v>88</v>
      </c>
      <c r="BB17" s="18" t="s">
        <v>88</v>
      </c>
      <c r="BC17" s="18" t="s">
        <v>88</v>
      </c>
      <c r="BD17" s="18" t="s">
        <v>88</v>
      </c>
      <c r="BE17" s="18" t="s">
        <v>88</v>
      </c>
      <c r="BF17" s="18" t="s">
        <v>88</v>
      </c>
      <c r="BG17" s="18" t="s">
        <v>88</v>
      </c>
      <c r="BH17" s="18" t="s">
        <v>88</v>
      </c>
      <c r="BI17" s="18" t="s">
        <v>88</v>
      </c>
      <c r="BK17" s="1"/>
    </row>
    <row r="18" spans="1:63" x14ac:dyDescent="0.2">
      <c r="A18" s="27">
        <f>IF(IF(HLOOKUP(Region,TJoursFeries[[#All],[France]:[Allemagne TH]],ROWS($C$1:C18),FALSE)&lt;&gt;0,C18,"")&lt;&gt;"",IF(C18&lt;Jour1Cal,IF(AND((FetesSecondaires="Non"),(F18="p")),"",D18),IF(AND(FetesSecondaires="Non",F18="p"),"",C18)),"")</f>
        <v>44866</v>
      </c>
      <c r="B18" t="s">
        <v>27</v>
      </c>
      <c r="C18" s="20">
        <f>DATE(Annee,11,1)</f>
        <v>44866</v>
      </c>
      <c r="D18" s="20">
        <f>DATE((Annee+1),11,1)</f>
        <v>45231</v>
      </c>
      <c r="E18"/>
      <c r="F18" s="2" t="s">
        <v>134</v>
      </c>
      <c r="G18" s="18" t="s">
        <v>88</v>
      </c>
      <c r="H18" s="18" t="s">
        <v>88</v>
      </c>
      <c r="I18" s="18" t="s">
        <v>88</v>
      </c>
      <c r="J18" s="18" t="s">
        <v>88</v>
      </c>
      <c r="K18" s="18" t="s">
        <v>88</v>
      </c>
      <c r="L18" s="18" t="s">
        <v>88</v>
      </c>
      <c r="M18" s="18" t="s">
        <v>88</v>
      </c>
      <c r="N18" s="18" t="s">
        <v>88</v>
      </c>
      <c r="O18" s="18" t="s">
        <v>88</v>
      </c>
      <c r="P18" s="18" t="s">
        <v>88</v>
      </c>
      <c r="Q18" s="18" t="s">
        <v>88</v>
      </c>
      <c r="R18" s="18" t="s">
        <v>88</v>
      </c>
      <c r="T18" s="18" t="s">
        <v>88</v>
      </c>
      <c r="Z18" s="18" t="s">
        <v>88</v>
      </c>
      <c r="AB18" s="18" t="s">
        <v>88</v>
      </c>
      <c r="AE18" s="18" t="s">
        <v>88</v>
      </c>
      <c r="AG18" s="18" t="s">
        <v>88</v>
      </c>
      <c r="AH18" s="18" t="s">
        <v>88</v>
      </c>
      <c r="AI18" s="18" t="s">
        <v>88</v>
      </c>
      <c r="AK18" s="18" t="s">
        <v>88</v>
      </c>
      <c r="AL18" s="18" t="s">
        <v>88</v>
      </c>
      <c r="AN18" s="18" t="s">
        <v>88</v>
      </c>
      <c r="AO18" s="18" t="s">
        <v>88</v>
      </c>
      <c r="AQ18" s="18" t="s">
        <v>88</v>
      </c>
      <c r="AR18" s="18" t="s">
        <v>88</v>
      </c>
      <c r="AT18" s="18" t="s">
        <v>88</v>
      </c>
      <c r="AU18" s="18" t="s">
        <v>88</v>
      </c>
      <c r="BC18" s="18" t="s">
        <v>88</v>
      </c>
      <c r="BD18" s="18" t="s">
        <v>88</v>
      </c>
      <c r="BE18" s="18" t="s">
        <v>88</v>
      </c>
      <c r="BK18" s="1"/>
    </row>
    <row r="19" spans="1:63" x14ac:dyDescent="0.2">
      <c r="A19" s="27">
        <f>IF(IF(HLOOKUP(Region,TJoursFeries[[#All],[France]:[Allemagne TH]],ROWS($C$1:C19),FALSE)&lt;&gt;0,C19,"")&lt;&gt;"",IF(C19&lt;Jour1Cal,IF(AND((FetesSecondaires="Non"),(F19="p")),"",D19),IF(AND(FetesSecondaires="Non",F19="p"),"",C19)),"")</f>
        <v>44876</v>
      </c>
      <c r="B19" t="s">
        <v>95</v>
      </c>
      <c r="C19" s="20">
        <f>DATE(Annee,11,11)</f>
        <v>44876</v>
      </c>
      <c r="D19" s="20">
        <f>DATE((Annee+1),11,11)</f>
        <v>45241</v>
      </c>
      <c r="E19"/>
      <c r="F19" s="2" t="s">
        <v>134</v>
      </c>
      <c r="G19" s="18" t="s">
        <v>88</v>
      </c>
      <c r="H19" s="18" t="s">
        <v>88</v>
      </c>
      <c r="I19" s="18" t="s">
        <v>88</v>
      </c>
      <c r="J19" s="18" t="s">
        <v>88</v>
      </c>
      <c r="K19" s="18" t="s">
        <v>88</v>
      </c>
      <c r="L19" s="18" t="s">
        <v>88</v>
      </c>
      <c r="M19" s="18" t="s">
        <v>88</v>
      </c>
      <c r="N19" s="18" t="s">
        <v>88</v>
      </c>
      <c r="O19" s="18" t="s">
        <v>88</v>
      </c>
      <c r="P19" s="18" t="s">
        <v>88</v>
      </c>
      <c r="Q19" s="18" t="s">
        <v>88</v>
      </c>
      <c r="BK19" s="1"/>
    </row>
    <row r="20" spans="1:63" x14ac:dyDescent="0.2">
      <c r="A20" s="27">
        <f>IF(IF(HLOOKUP(Region,TJoursFeries[[#All],[France]:[Allemagne TH]],ROWS($C$1:C20),FALSE)&lt;&gt;0,C20,"")&lt;&gt;"",IF(C20&lt;Jour1Cal,IF(AND((FetesSecondaires="Non"),(F20="p")),"",D20),IF(AND(FetesSecondaires="Non",F20="p"),"",C20)),"")</f>
        <v>44920</v>
      </c>
      <c r="B20" t="s">
        <v>28</v>
      </c>
      <c r="C20" s="20">
        <f>DATE(Annee,12,25)</f>
        <v>44920</v>
      </c>
      <c r="D20" s="20">
        <f>DATE((Annee+1),12,25)</f>
        <v>45285</v>
      </c>
      <c r="E20"/>
      <c r="F20" s="2" t="s">
        <v>134</v>
      </c>
      <c r="G20" s="18" t="s">
        <v>88</v>
      </c>
      <c r="H20" s="18" t="s">
        <v>88</v>
      </c>
      <c r="I20" s="18" t="s">
        <v>88</v>
      </c>
      <c r="J20" s="18" t="s">
        <v>88</v>
      </c>
      <c r="K20" s="18" t="s">
        <v>88</v>
      </c>
      <c r="L20" s="18" t="s">
        <v>88</v>
      </c>
      <c r="M20" s="18" t="s">
        <v>88</v>
      </c>
      <c r="N20" s="18" t="s">
        <v>88</v>
      </c>
      <c r="O20" s="18" t="s">
        <v>88</v>
      </c>
      <c r="P20" s="18" t="s">
        <v>88</v>
      </c>
      <c r="Q20" s="18" t="s">
        <v>88</v>
      </c>
      <c r="R20" s="18" t="s">
        <v>88</v>
      </c>
      <c r="S20" s="18" t="s">
        <v>88</v>
      </c>
      <c r="T20" s="18" t="s">
        <v>88</v>
      </c>
      <c r="U20" s="18" t="s">
        <v>88</v>
      </c>
      <c r="V20" s="18" t="s">
        <v>88</v>
      </c>
      <c r="W20" s="18" t="s">
        <v>88</v>
      </c>
      <c r="X20" s="18" t="s">
        <v>88</v>
      </c>
      <c r="Y20" s="18" t="s">
        <v>88</v>
      </c>
      <c r="Z20" s="18" t="s">
        <v>88</v>
      </c>
      <c r="AA20" s="18" t="s">
        <v>88</v>
      </c>
      <c r="AB20" s="18" t="s">
        <v>88</v>
      </c>
      <c r="AC20" s="18" t="s">
        <v>88</v>
      </c>
      <c r="AD20" s="18" t="s">
        <v>88</v>
      </c>
      <c r="AE20" s="18" t="s">
        <v>88</v>
      </c>
      <c r="AF20" s="18" t="s">
        <v>88</v>
      </c>
      <c r="AG20" s="18" t="s">
        <v>88</v>
      </c>
      <c r="AH20" s="18" t="s">
        <v>88</v>
      </c>
      <c r="AI20" s="18" t="s">
        <v>88</v>
      </c>
      <c r="AJ20" s="18" t="s">
        <v>88</v>
      </c>
      <c r="AK20" s="18" t="s">
        <v>88</v>
      </c>
      <c r="AL20" s="18" t="s">
        <v>88</v>
      </c>
      <c r="AM20" s="18" t="s">
        <v>88</v>
      </c>
      <c r="AN20" s="18" t="s">
        <v>88</v>
      </c>
      <c r="AO20" s="18" t="s">
        <v>88</v>
      </c>
      <c r="AP20" s="18" t="s">
        <v>88</v>
      </c>
      <c r="AQ20" s="18" t="s">
        <v>88</v>
      </c>
      <c r="AR20" s="18" t="s">
        <v>88</v>
      </c>
      <c r="AS20" s="18" t="s">
        <v>88</v>
      </c>
      <c r="AT20" s="18" t="s">
        <v>88</v>
      </c>
      <c r="AU20" s="18" t="s">
        <v>88</v>
      </c>
      <c r="AV20" s="18" t="s">
        <v>88</v>
      </c>
      <c r="AW20" s="18" t="s">
        <v>88</v>
      </c>
      <c r="AX20" s="18" t="s">
        <v>88</v>
      </c>
      <c r="AY20" s="18" t="s">
        <v>88</v>
      </c>
      <c r="AZ20" s="18" t="s">
        <v>88</v>
      </c>
      <c r="BA20" s="18" t="s">
        <v>88</v>
      </c>
      <c r="BB20" s="18" t="s">
        <v>88</v>
      </c>
      <c r="BC20" s="18" t="s">
        <v>88</v>
      </c>
      <c r="BD20" s="18" t="s">
        <v>88</v>
      </c>
      <c r="BE20" s="18" t="s">
        <v>88</v>
      </c>
      <c r="BF20" s="18" t="s">
        <v>88</v>
      </c>
      <c r="BG20" s="18" t="s">
        <v>88</v>
      </c>
      <c r="BH20" s="18" t="s">
        <v>88</v>
      </c>
      <c r="BI20" s="18" t="s">
        <v>88</v>
      </c>
      <c r="BK20" s="1"/>
    </row>
    <row r="21" spans="1:63" x14ac:dyDescent="0.2">
      <c r="A21" s="27" t="str">
        <f>IF(IF(HLOOKUP(Region,TJoursFeries[[#All],[France]:[Allemagne TH]],ROWS($C$1:C21),FALSE)&lt;&gt;0,C21,"")&lt;&gt;"",IF(C21&lt;Jour1Cal,IF(AND((FetesSecondaires="Non"),(F21="p")),"",D21),IF(AND(FetesSecondaires="Non",F21="p"),"",C21)),"")</f>
        <v/>
      </c>
      <c r="B21" t="s">
        <v>96</v>
      </c>
      <c r="C21" s="20">
        <f>C20+1</f>
        <v>44921</v>
      </c>
      <c r="D21" s="20">
        <f>D20+1</f>
        <v>45286</v>
      </c>
      <c r="E21"/>
      <c r="F21" s="2" t="s">
        <v>134</v>
      </c>
      <c r="H21" s="18" t="s">
        <v>88</v>
      </c>
      <c r="R21" s="18" t="s">
        <v>88</v>
      </c>
      <c r="T21" s="18" t="s">
        <v>88</v>
      </c>
      <c r="U21" s="18" t="s">
        <v>88</v>
      </c>
      <c r="V21" s="18" t="s">
        <v>88</v>
      </c>
      <c r="W21" s="18" t="s">
        <v>88</v>
      </c>
      <c r="X21" s="18" t="s">
        <v>88</v>
      </c>
      <c r="Y21" s="18" t="s">
        <v>88</v>
      </c>
      <c r="AB21" s="18" t="s">
        <v>88</v>
      </c>
      <c r="AC21" s="18" t="s">
        <v>88</v>
      </c>
      <c r="AE21" s="18" t="s">
        <v>88</v>
      </c>
      <c r="AF21" s="18" t="s">
        <v>88</v>
      </c>
      <c r="AI21" s="18" t="s">
        <v>88</v>
      </c>
      <c r="AJ21" s="18" t="s">
        <v>88</v>
      </c>
      <c r="AM21" s="18" t="s">
        <v>88</v>
      </c>
      <c r="AN21" s="18" t="s">
        <v>88</v>
      </c>
      <c r="AS21" s="18" t="s">
        <v>88</v>
      </c>
      <c r="AT21" s="18" t="s">
        <v>88</v>
      </c>
      <c r="AU21" s="18" t="s">
        <v>88</v>
      </c>
      <c r="AV21" s="18" t="s">
        <v>88</v>
      </c>
      <c r="AW21" s="18" t="s">
        <v>88</v>
      </c>
      <c r="AX21" s="18" t="s">
        <v>88</v>
      </c>
      <c r="AY21" s="18" t="s">
        <v>88</v>
      </c>
      <c r="AZ21" s="18" t="s">
        <v>88</v>
      </c>
      <c r="BA21" s="18" t="s">
        <v>88</v>
      </c>
      <c r="BB21" s="18" t="s">
        <v>88</v>
      </c>
      <c r="BC21" s="18" t="s">
        <v>88</v>
      </c>
      <c r="BD21" s="18" t="s">
        <v>88</v>
      </c>
      <c r="BE21" s="18" t="s">
        <v>88</v>
      </c>
      <c r="BF21" s="18" t="s">
        <v>88</v>
      </c>
      <c r="BG21" s="18" t="s">
        <v>88</v>
      </c>
      <c r="BH21" s="18" t="s">
        <v>88</v>
      </c>
      <c r="BI21" s="18" t="s">
        <v>88</v>
      </c>
      <c r="BK21" s="1"/>
    </row>
    <row r="22" spans="1:63" x14ac:dyDescent="0.2">
      <c r="A22" s="27" t="str">
        <f>IF(IF(HLOOKUP(Region,TJoursFeries[[#All],[France]:[Allemagne TH]],ROWS($C$1:C22),FALSE)&lt;&gt;0,C22,"")&lt;&gt;"",IF(C22&lt;Jour1Cal,IF(AND((FetesSecondaires="Non"),(F22="p")),"",D22),IF(AND(FetesSecondaires="Non",F22="p"),"",C22)),"")</f>
        <v/>
      </c>
      <c r="B22" t="s">
        <v>97</v>
      </c>
      <c r="C22" s="20">
        <f>DATE(Annee,12,20)</f>
        <v>44915</v>
      </c>
      <c r="D22" s="20">
        <f>DATE((Annee+1),12,20)</f>
        <v>45280</v>
      </c>
      <c r="E22" t="s">
        <v>35</v>
      </c>
      <c r="F22" s="2" t="s">
        <v>134</v>
      </c>
      <c r="I22" s="18" t="s">
        <v>88</v>
      </c>
      <c r="BK22" s="1"/>
    </row>
    <row r="23" spans="1:63" x14ac:dyDescent="0.2">
      <c r="A23" s="27" t="str">
        <f>IF(IF(HLOOKUP(Region,TJoursFeries[[#All],[France]:[Allemagne TH]],ROWS($C$1:C23),FALSE)&lt;&gt;0,C23,"")&lt;&gt;"",IF(C23&lt;Jour1Cal,IF(AND((FetesSecondaires="Non"),(F23="p")),"",D23),IF(AND(FetesSecondaires="Non",F23="p"),"",C23)),"")</f>
        <v/>
      </c>
      <c r="B23" t="s">
        <v>93</v>
      </c>
      <c r="C23" s="20">
        <f>DATE(Annee,7,21)</f>
        <v>44763</v>
      </c>
      <c r="D23" s="20">
        <f>DATE((Annee+1),7,21)</f>
        <v>45128</v>
      </c>
      <c r="E23" t="s">
        <v>19</v>
      </c>
      <c r="F23" s="2" t="s">
        <v>134</v>
      </c>
      <c r="Q23" s="18" t="s">
        <v>88</v>
      </c>
      <c r="BK23" s="1"/>
    </row>
    <row r="24" spans="1:63" x14ac:dyDescent="0.2">
      <c r="A24" s="27" t="str">
        <f>IF(IF(HLOOKUP(Region,TJoursFeries[[#All],[France]:[Allemagne TH]],ROWS($C$1:C24),FALSE)&lt;&gt;0,C24,"")&lt;&gt;"",IF(C24&lt;Jour1Cal,IF(AND((FetesSecondaires="Non"),(F24="p")),"",D24),IF(AND(FetesSecondaires="Non",F24="p"),"",C24)),"")</f>
        <v/>
      </c>
      <c r="B24" t="s">
        <v>93</v>
      </c>
      <c r="C24" s="20">
        <f>DATE(Annee,6,23)</f>
        <v>44735</v>
      </c>
      <c r="D24" s="20">
        <f>DATE((Annee+1),6,23)</f>
        <v>45100</v>
      </c>
      <c r="E24" t="s">
        <v>43</v>
      </c>
      <c r="F24" s="2" t="s">
        <v>134</v>
      </c>
      <c r="R24" s="18" t="s">
        <v>88</v>
      </c>
      <c r="BK24" s="1"/>
    </row>
    <row r="25" spans="1:63" x14ac:dyDescent="0.2">
      <c r="A25" s="27" t="str">
        <f>IF(IF(HLOOKUP(Region,TJoursFeries[[#All],[France]:[Allemagne TH]],ROWS($C$1:C25),FALSE)&lt;&gt;0,C25,"")&lt;&gt;"",IF(C25&lt;Jour1Cal,IF(AND((FetesSecondaires="Non"),(F25="p")),"",D25),IF(AND(FetesSecondaires="Non",F25="p"),"",C25)),"")</f>
        <v/>
      </c>
      <c r="B25" t="s">
        <v>93</v>
      </c>
      <c r="C25" s="20">
        <f>DATE(Annee,6,24)</f>
        <v>44736</v>
      </c>
      <c r="D25" s="20">
        <f>DATE((Annee+1),6,24)</f>
        <v>45101</v>
      </c>
      <c r="E25" t="s">
        <v>44</v>
      </c>
      <c r="F25" s="2" t="s">
        <v>134</v>
      </c>
      <c r="S25" s="18" t="s">
        <v>88</v>
      </c>
      <c r="BK25" s="1"/>
    </row>
    <row r="26" spans="1:63" x14ac:dyDescent="0.2">
      <c r="A26" s="27" t="str">
        <f>IF(IF(HLOOKUP(Region,TJoursFeries[[#All],[France]:[Allemagne TH]],ROWS($C$1:C26),FALSE)&lt;&gt;0,C26,"")&lt;&gt;"",IF(C26&lt;Jour1Cal,IF(AND((FetesSecondaires="Non"),(F26="p")),"",D26),IF(AND(FetesSecondaires="Non",F26="p"),"",C26)),"")</f>
        <v/>
      </c>
      <c r="B26" t="s">
        <v>91</v>
      </c>
      <c r="C26" s="20">
        <f>DATE(Annee,9,8)-WEEKDAY(DATE(Annee,9,6))</f>
        <v>44809</v>
      </c>
      <c r="D26" s="20">
        <f>DATE((Annee+1),9,8)-WEEKDAY(DATE((Annee+1),9,6))</f>
        <v>45173</v>
      </c>
      <c r="E26" t="s">
        <v>90</v>
      </c>
      <c r="F26" s="2" t="s">
        <v>134</v>
      </c>
      <c r="S26" s="18" t="s">
        <v>88</v>
      </c>
      <c r="BK26" s="1"/>
    </row>
    <row r="27" spans="1:63" x14ac:dyDescent="0.2">
      <c r="A27" s="27" t="str">
        <f>IF(IF(HLOOKUP(Region,TJoursFeries[[#All],[France]:[Allemagne TH]],ROWS($C$1:C27),FALSE)&lt;&gt;0,C27,"")&lt;&gt;"",IF(C27&lt;Jour1Cal,IF(AND((FetesSecondaires="Non"),(F27="p")),"",D27),IF(AND(FetesSecondaires="Non",F27="p"),"",C27)),"")</f>
        <v/>
      </c>
      <c r="B27" t="s">
        <v>98</v>
      </c>
      <c r="C27" s="20">
        <f>IF(DATE(Annee,6,1)-WEEKDAY(DATE(Annee,5,31))=C11,DATE(Annee,6,1)-WEEKDAY(DATE(Annee,5,31))+7,DATE(Annee,6,1)-WEEKDAY(DATE(Annee,5,31)))</f>
        <v>44710</v>
      </c>
      <c r="D27" s="20">
        <f>DATE((Annee+1),6,1)-WEEKDAY(DATE((Annee+1),5,31))</f>
        <v>45074</v>
      </c>
      <c r="E27"/>
      <c r="F27" s="2" t="s">
        <v>133</v>
      </c>
      <c r="G27" s="18" t="s">
        <v>88</v>
      </c>
      <c r="H27" s="18" t="s">
        <v>88</v>
      </c>
      <c r="I27" s="18" t="s">
        <v>88</v>
      </c>
      <c r="J27" s="18" t="s">
        <v>88</v>
      </c>
      <c r="K27" s="18" t="s">
        <v>88</v>
      </c>
      <c r="L27" s="18" t="s">
        <v>88</v>
      </c>
      <c r="M27" s="18" t="s">
        <v>88</v>
      </c>
      <c r="N27" s="18" t="s">
        <v>88</v>
      </c>
      <c r="O27" s="18" t="s">
        <v>88</v>
      </c>
      <c r="P27" s="18" t="s">
        <v>88</v>
      </c>
      <c r="BK27" s="1"/>
    </row>
    <row r="28" spans="1:63" x14ac:dyDescent="0.2">
      <c r="A28" s="27" t="str">
        <f>IF(IF(HLOOKUP(Region,TJoursFeries[[#All],[France]:[Allemagne TH]],ROWS($C$1:C28),FALSE)&lt;&gt;0,C28,"")&lt;&gt;"",IF(C28&lt;Jour1Cal,IF(AND((FetesSecondaires="Non"),(F28="p")),"",D28),IF(AND(FetesSecondaires="Non",F28="p"),"",C28)),"")</f>
        <v/>
      </c>
      <c r="B28" t="s">
        <v>99</v>
      </c>
      <c r="C28" s="20">
        <f>DATE(Annee,6,22)-WEEKDAY(DATE(Annee,6,7))</f>
        <v>44731</v>
      </c>
      <c r="D28" s="20">
        <f>DATE((Annee+1),6,22)-WEEKDAY(DATE((Annee+1),6,7))</f>
        <v>45095</v>
      </c>
      <c r="E28"/>
      <c r="F28" s="2" t="s">
        <v>133</v>
      </c>
    </row>
    <row r="29" spans="1:63" x14ac:dyDescent="0.2">
      <c r="A29" s="27" t="str">
        <f>IF(IF(HLOOKUP(Region,TJoursFeries[[#All],[France]:[Allemagne TH]],ROWS($C$1:C29),FALSE)&lt;&gt;0,C29,"")&lt;&gt;"",IF(C29&lt;Jour1Cal,IF(AND((FetesSecondaires="Non"),(F29="p")),"",D29),IF(AND(FetesSecondaires="Non",F29="p"),"",C29)),"")</f>
        <v/>
      </c>
      <c r="B29" t="s">
        <v>100</v>
      </c>
      <c r="C29" s="20">
        <f>DATE(Annee,3,8)-WEEKDAY(DATE(Annee,3,7))</f>
        <v>44626</v>
      </c>
      <c r="D29" s="20">
        <f>DATE((Annee+1),3,8)-WEEKDAY(DATE((Annee+1),3,7))</f>
        <v>44990</v>
      </c>
      <c r="E29"/>
      <c r="F29" s="2" t="s">
        <v>133</v>
      </c>
    </row>
    <row r="30" spans="1:63" x14ac:dyDescent="0.2">
      <c r="A30" s="27" t="str">
        <f>IF(IF(HLOOKUP(Region,TJoursFeries[[#All],[France]:[Allemagne TH]],ROWS($C$1:C30),FALSE)&lt;&gt;0,C30,"")&lt;&gt;"",IF(C30&lt;Jour1Cal,IF(AND((FetesSecondaires="Non"),(F30="p")),"",D30),IF(AND(FetesSecondaires="Non",F30="p"),"",C30)),"")</f>
        <v/>
      </c>
      <c r="B30" t="s">
        <v>101</v>
      </c>
      <c r="C30" s="20">
        <f>DATE(Annee,1,9)-WEEKDAY(DATE(Annee,1,8))</f>
        <v>44563</v>
      </c>
      <c r="D30" s="20">
        <f>DATE((Annee+1),1,9)-WEEKDAY(DATE((Annee+1),1,8))</f>
        <v>44934</v>
      </c>
      <c r="E30" t="s">
        <v>102</v>
      </c>
      <c r="F30" s="2" t="s">
        <v>133</v>
      </c>
    </row>
    <row r="31" spans="1:63" x14ac:dyDescent="0.2">
      <c r="A31" s="27" t="str">
        <f>IF(IF(HLOOKUP(Region,TJoursFeries[[#All],[France]:[Allemagne TH]],ROWS($C$1:C31),FALSE)&lt;&gt;0,C31,"")&lt;&gt;"",IF(C31&lt;Jour1Cal,IF(AND((FetesSecondaires="Non"),(F31="p")),"",D31),IF(AND(FetesSecondaires="Non",F31="p"),"",C31)),"")</f>
        <v/>
      </c>
      <c r="B31" t="s">
        <v>101</v>
      </c>
      <c r="C31" s="20">
        <f>DATE(Annee,1,6)</f>
        <v>44567</v>
      </c>
      <c r="D31" s="20">
        <f>DATE((Annee+1),1,6)</f>
        <v>44932</v>
      </c>
      <c r="E31" t="s">
        <v>103</v>
      </c>
      <c r="F31" s="2" t="s">
        <v>133</v>
      </c>
      <c r="AN31" s="18" t="s">
        <v>88</v>
      </c>
      <c r="AT31" s="18" t="s">
        <v>88</v>
      </c>
      <c r="AU31" s="18" t="s">
        <v>88</v>
      </c>
      <c r="BG31" s="18" t="s">
        <v>88</v>
      </c>
    </row>
    <row r="32" spans="1:63" x14ac:dyDescent="0.2">
      <c r="A32" s="27" t="str">
        <f>IF(IF(HLOOKUP(Region,TJoursFeries[[#All],[France]:[Allemagne TH]],ROWS($C$1:C32),FALSE)&lt;&gt;0,C32,"")&lt;&gt;"",IF(C32&lt;Jour1Cal,IF(AND((FetesSecondaires="Non"),(F32="p")),"",D32),IF(AND(FetesSecondaires="Non",F32="p"),"",C32)),"")</f>
        <v/>
      </c>
      <c r="B32" t="s">
        <v>104</v>
      </c>
      <c r="C32" s="20">
        <f>C8+60</f>
        <v>44728</v>
      </c>
      <c r="D32" s="20">
        <f>D8+60</f>
        <v>45085</v>
      </c>
      <c r="E32"/>
      <c r="F32" s="2" t="s">
        <v>134</v>
      </c>
      <c r="T32" s="18" t="s">
        <v>88</v>
      </c>
      <c r="U32" s="18" t="s">
        <v>88</v>
      </c>
      <c r="Z32" s="18" t="s">
        <v>88</v>
      </c>
      <c r="AD32" s="18" t="s">
        <v>88</v>
      </c>
      <c r="AE32" s="18" t="s">
        <v>88</v>
      </c>
      <c r="AG32" s="18" t="s">
        <v>88</v>
      </c>
      <c r="AH32" s="18" t="s">
        <v>88</v>
      </c>
      <c r="AK32" s="18" t="s">
        <v>88</v>
      </c>
      <c r="AL32" s="18" t="s">
        <v>88</v>
      </c>
      <c r="AO32" s="18" t="s">
        <v>88</v>
      </c>
      <c r="AQ32" s="18" t="s">
        <v>88</v>
      </c>
      <c r="AR32" s="18" t="s">
        <v>88</v>
      </c>
      <c r="AT32" s="18" t="s">
        <v>88</v>
      </c>
      <c r="AU32" s="18" t="s">
        <v>88</v>
      </c>
      <c r="AZ32" s="18" t="s">
        <v>88</v>
      </c>
      <c r="BC32" s="18" t="s">
        <v>88</v>
      </c>
      <c r="BD32" s="18" t="s">
        <v>88</v>
      </c>
      <c r="BE32" s="18" t="s">
        <v>88</v>
      </c>
    </row>
    <row r="33" spans="1:44" x14ac:dyDescent="0.2">
      <c r="A33" s="27" t="str">
        <f>IF(IF(HLOOKUP(Region,TJoursFeries[[#All],[France]:[Allemagne TH]],ROWS($C$1:C33),FALSE)&lt;&gt;0,C33,"")&lt;&gt;"",IF(C33&lt;Jour1Cal,IF(AND((FetesSecondaires="Non"),(F33="p")),"",D33),IF(AND(FetesSecondaires="Non",F33="p"),"",C33)),"")</f>
        <v/>
      </c>
      <c r="B33" t="s">
        <v>105</v>
      </c>
      <c r="C33" s="20">
        <f>DATE(Annee,12,8)</f>
        <v>44903</v>
      </c>
      <c r="D33" s="20">
        <f>DATE((Annee+1),12,8)</f>
        <v>45268</v>
      </c>
      <c r="E33"/>
      <c r="F33" s="2" t="s">
        <v>134</v>
      </c>
      <c r="T33" s="18" t="s">
        <v>88</v>
      </c>
      <c r="Z33" s="18" t="s">
        <v>88</v>
      </c>
      <c r="AG33" s="18" t="s">
        <v>88</v>
      </c>
      <c r="AH33" s="18" t="s">
        <v>88</v>
      </c>
      <c r="AO33" s="18" t="s">
        <v>88</v>
      </c>
      <c r="AQ33" s="18" t="s">
        <v>88</v>
      </c>
      <c r="AR33" s="18" t="s">
        <v>88</v>
      </c>
    </row>
    <row r="34" spans="1:44" x14ac:dyDescent="0.2">
      <c r="A34" s="27" t="str">
        <f>IF(IF(HLOOKUP(Region,TJoursFeries[[#All],[France]:[Allemagne TH]],ROWS($C$1:C34),FALSE)&lt;&gt;0,C34,"")&lt;&gt;"",IF(C34&lt;Jour1Cal,IF(AND((FetesSecondaires="Non"),(F34="p")),"",D34),IF(AND(FetesSecondaires="Non",F34="p"),"",C34)),"")</f>
        <v/>
      </c>
      <c r="B34" t="s">
        <v>94</v>
      </c>
      <c r="C34" s="20">
        <f>DATE(Annee,11,8)-WEEKDAY(DATE(Annee,11,7))</f>
        <v>44871</v>
      </c>
      <c r="D34" s="20">
        <f>DATE((Annee+1),11,8)-WEEKDAY(DATE((Annee+1),11,7))</f>
        <v>45235</v>
      </c>
      <c r="E34" t="s">
        <v>90</v>
      </c>
      <c r="F34" s="2" t="s">
        <v>133</v>
      </c>
      <c r="P34" s="18" t="s">
        <v>88</v>
      </c>
      <c r="S34" s="18" t="s">
        <v>88</v>
      </c>
    </row>
    <row r="35" spans="1:44" x14ac:dyDescent="0.2">
      <c r="A35" s="27" t="str">
        <f>IF(IF(HLOOKUP(Region,TJoursFeries[[#All],[France]:[Allemagne TH]],ROWS($C$1:C35),FALSE)&lt;&gt;0,C35,"")&lt;&gt;"",IF(C35&lt;Jour1Cal,IF(AND((FetesSecondaires="Non"),(F35="p")),"",D35),IF(AND(FetesSecondaires="Non",F35="p"),"",C35)),"")</f>
        <v/>
      </c>
      <c r="B35" t="s">
        <v>106</v>
      </c>
      <c r="C35" s="20">
        <f>C36-1</f>
        <v>44621</v>
      </c>
      <c r="D35" s="20">
        <f>D36-1</f>
        <v>44978</v>
      </c>
      <c r="E35"/>
      <c r="F35" s="2" t="s">
        <v>133</v>
      </c>
      <c r="J35" s="18" t="s">
        <v>88</v>
      </c>
      <c r="K35" s="18" t="s">
        <v>88</v>
      </c>
      <c r="L35" s="18" t="s">
        <v>88</v>
      </c>
    </row>
    <row r="36" spans="1:44" x14ac:dyDescent="0.2">
      <c r="A36" s="27" t="str">
        <f>IF(IF(HLOOKUP(Region,TJoursFeries[[#All],[France]:[Allemagne TH]],ROWS($C$1:C36),FALSE)&lt;&gt;0,C36,"")&lt;&gt;"",IF(C36&lt;Jour1Cal,IF(AND((FetesSecondaires="Non"),(F36="p")),"",D36),IF(AND(FetesSecondaires="Non",F36="p"),"",C36)),"")</f>
        <v/>
      </c>
      <c r="B36" t="s">
        <v>107</v>
      </c>
      <c r="C36" s="20">
        <f>C8-46</f>
        <v>44622</v>
      </c>
      <c r="D36" s="20">
        <f>D8-46</f>
        <v>44979</v>
      </c>
      <c r="E36" t="s">
        <v>108</v>
      </c>
      <c r="F36" s="2" t="s">
        <v>134</v>
      </c>
      <c r="J36" s="18" t="s">
        <v>88</v>
      </c>
      <c r="K36" s="18" t="s">
        <v>88</v>
      </c>
      <c r="L36" s="18" t="s">
        <v>88</v>
      </c>
    </row>
    <row r="37" spans="1:44" x14ac:dyDescent="0.2">
      <c r="A37" s="27" t="str">
        <f>IF(IF(HLOOKUP(Region,TJoursFeries[[#All],[France]:[Allemagne TH]],ROWS($C$1:C37),FALSE)&lt;&gt;0,C37,"")&lt;&gt;"",IF(C37&lt;Jour1Cal,IF(AND((FetesSecondaires="Non"),(F37="p")),"",D37),IF(AND(FetesSecondaires="Non",F37="p"),"",C37)),"")</f>
        <v/>
      </c>
      <c r="B37" t="s">
        <v>109</v>
      </c>
      <c r="C37" s="20">
        <f>C5-24</f>
        <v>44623</v>
      </c>
      <c r="D37" s="20">
        <f>D5-24</f>
        <v>44987</v>
      </c>
      <c r="E37"/>
      <c r="F37" s="2" t="s">
        <v>134</v>
      </c>
      <c r="J37" s="18" t="s">
        <v>88</v>
      </c>
      <c r="K37" s="18" t="s">
        <v>88</v>
      </c>
      <c r="L37" s="18" t="s">
        <v>88</v>
      </c>
    </row>
    <row r="38" spans="1:44" x14ac:dyDescent="0.2">
      <c r="A38" s="27" t="str">
        <f>IF(IF(HLOOKUP(Region,TJoursFeries[[#All],[France]:[Allemagne TH]],ROWS($C$1:C38),FALSE)&lt;&gt;0,C38,"")&lt;&gt;"",IF(C38&lt;Jour1Cal,IF(AND((FetesSecondaires="Non"),(F38="p")),"",D38),IF(AND(FetesSecondaires="Non",F38="p"),"",C38)),"")</f>
        <v/>
      </c>
      <c r="B38" t="s">
        <v>97</v>
      </c>
      <c r="C38" s="20">
        <f>DATE(Annee,5,22)</f>
        <v>44703</v>
      </c>
      <c r="D38" s="20">
        <f>DATE((Annee+1),5,22)</f>
        <v>45068</v>
      </c>
      <c r="E38" t="s">
        <v>36</v>
      </c>
      <c r="F38" s="2" t="s">
        <v>134</v>
      </c>
      <c r="J38" s="18" t="s">
        <v>88</v>
      </c>
    </row>
    <row r="39" spans="1:44" x14ac:dyDescent="0.2">
      <c r="A39" s="27" t="str">
        <f>IF(IF(HLOOKUP(Region,TJoursFeries[[#All],[France]:[Allemagne TH]],ROWS($C$1:C39),FALSE)&lt;&gt;0,C39,"")&lt;&gt;"",IF(C39&lt;Jour1Cal,IF(AND((FetesSecondaires="Non"),(F39="p")),"",D39),IF(AND(FetesSecondaires="Non",F39="p"),"",C39)),"")</f>
        <v/>
      </c>
      <c r="B39" t="s">
        <v>97</v>
      </c>
      <c r="C39" s="20">
        <f>DATE(Annee,5,27)</f>
        <v>44708</v>
      </c>
      <c r="D39" s="20">
        <f>DATE((Annee+1),5,27)</f>
        <v>45073</v>
      </c>
      <c r="E39" t="s">
        <v>37</v>
      </c>
      <c r="F39" s="2" t="s">
        <v>134</v>
      </c>
      <c r="K39" s="18" t="s">
        <v>88</v>
      </c>
    </row>
    <row r="40" spans="1:44" x14ac:dyDescent="0.2">
      <c r="A40" s="27" t="str">
        <f>IF(IF(HLOOKUP(Region,TJoursFeries[[#All],[France]:[Allemagne TH]],ROWS($C$1:C40),FALSE)&lt;&gt;0,C40,"")&lt;&gt;"",IF(C40&lt;Jour1Cal,IF(AND((FetesSecondaires="Non"),(F40="p")),"",D40),IF(AND(FetesSecondaires="Non",F40="p"),"",C40)),"")</f>
        <v/>
      </c>
      <c r="B40" t="s">
        <v>97</v>
      </c>
      <c r="C40" s="20">
        <f>DATE(Annee,6,10)</f>
        <v>44722</v>
      </c>
      <c r="D40" s="20">
        <f>DATE((Annee+1),6,10)</f>
        <v>45087</v>
      </c>
      <c r="E40" t="s">
        <v>110</v>
      </c>
      <c r="F40" s="2" t="s">
        <v>134</v>
      </c>
      <c r="L40" s="18" t="s">
        <v>88</v>
      </c>
    </row>
    <row r="41" spans="1:44" x14ac:dyDescent="0.2">
      <c r="A41" s="27" t="str">
        <f>IF(IF(HLOOKUP(Region,TJoursFeries[[#All],[France]:[Allemagne TH]],ROWS($C$1:C41),FALSE)&lt;&gt;0,C41,"")&lt;&gt;"",IF(C41&lt;Jour1Cal,IF(AND((FetesSecondaires="Non"),(F41="p")),"",D41),IF(AND(FetesSecondaires="Non",F41="p"),"",C41)),"")</f>
        <v/>
      </c>
      <c r="B41" t="s">
        <v>111</v>
      </c>
      <c r="C41" s="20">
        <f>C15+1</f>
        <v>44757</v>
      </c>
      <c r="D41" s="20">
        <f>D15+1</f>
        <v>45122</v>
      </c>
      <c r="E41"/>
      <c r="F41" s="2" t="s">
        <v>134</v>
      </c>
      <c r="J41" s="18" t="s">
        <v>88</v>
      </c>
      <c r="K41" s="18" t="s">
        <v>88</v>
      </c>
      <c r="L41" s="18" t="s">
        <v>88</v>
      </c>
    </row>
    <row r="42" spans="1:44" x14ac:dyDescent="0.2">
      <c r="A42" s="27" t="str">
        <f>IF(IF(HLOOKUP(Region,TJoursFeries[[#All],[France]:[Allemagne TH]],ROWS($C$1:C42),FALSE)&lt;&gt;0,C42,"")&lt;&gt;"",IF(C42&lt;Jour1Cal,IF(AND((FetesSecondaires="Non"),(F42="p")),"",D42),IF(AND(FetesSecondaires="Non",F42="p"),"",C42)),"")</f>
        <v/>
      </c>
      <c r="B42" t="s">
        <v>112</v>
      </c>
      <c r="C42" s="20">
        <f>DATE(Annee,5,25)-WEEKDAY(DATE(Annee,5,23))</f>
        <v>44704</v>
      </c>
      <c r="D42" s="20">
        <f>DATE((Annee+1),5,25)-WEEKDAY(DATE((Annee+1),5,23))</f>
        <v>45068</v>
      </c>
      <c r="E42" t="s">
        <v>44</v>
      </c>
      <c r="F42" s="2" t="s">
        <v>134</v>
      </c>
      <c r="S42" s="18" t="s">
        <v>88</v>
      </c>
    </row>
    <row r="43" spans="1:44" x14ac:dyDescent="0.2">
      <c r="A43" s="27" t="str">
        <f>IF(IF(HLOOKUP(Region,TJoursFeries[[#All],[France]:[Allemagne TH]],ROWS($C$1:C43),FALSE)&lt;&gt;0,C43,"")&lt;&gt;"",IF(C43&lt;Jour1Cal,IF(AND((FetesSecondaires="Non"),(F43="p")),"",D43),IF(AND(FetesSecondaires="Non",F43="p"),"",C43)),"")</f>
        <v/>
      </c>
      <c r="B43" t="s">
        <v>29</v>
      </c>
      <c r="C43" s="20">
        <f>DATE(Annee,7,1)</f>
        <v>44743</v>
      </c>
      <c r="D43" s="20">
        <f>DATE((Annee+1),7,1)</f>
        <v>45108</v>
      </c>
      <c r="E43" t="s">
        <v>44</v>
      </c>
      <c r="F43" s="2" t="s">
        <v>134</v>
      </c>
      <c r="S43" s="18" t="s">
        <v>88</v>
      </c>
    </row>
    <row r="44" spans="1:44" x14ac:dyDescent="0.2">
      <c r="A44" s="27" t="str">
        <f>IF(IF(HLOOKUP(Region,TJoursFeries[[#All],[France]:[Allemagne TH]],ROWS($C$1:C44),FALSE)&lt;&gt;0,C44,"")&lt;&gt;"",IF(C44&lt;Jour1Cal,IF(AND((FetesSecondaires="Non"),(F44="p")),"",D44),IF(AND(FetesSecondaires="Non",F44="p"),"",C44)),"")</f>
        <v/>
      </c>
      <c r="B44" t="s">
        <v>113</v>
      </c>
      <c r="C44" s="20">
        <f>DATE(Annee,10,15)-WEEKDAY(DATE(Annee,10,13))</f>
        <v>44844</v>
      </c>
      <c r="D44" s="20">
        <f>DATE((Annee+1),10,15)-WEEKDAY(DATE((Annee+1),10,13))</f>
        <v>45208</v>
      </c>
      <c r="E44" t="s">
        <v>44</v>
      </c>
      <c r="F44" s="2" t="s">
        <v>134</v>
      </c>
      <c r="S44" s="18" t="s">
        <v>88</v>
      </c>
    </row>
    <row r="45" spans="1:44" x14ac:dyDescent="0.2">
      <c r="A45" s="27" t="str">
        <f>IF(IF(HLOOKUP(Region,TJoursFeries[[#All],[France]:[Allemagne TH]],ROWS($C$1:C45),FALSE)&lt;&gt;0,C45,"")&lt;&gt;"",IF(C45&lt;Jour1Cal,IF(AND((FetesSecondaires="Non"),(F45="p")),"",D45),IF(AND(FetesSecondaires="Non",F45="p"),"",C45)),"")</f>
        <v/>
      </c>
      <c r="B45" t="s">
        <v>114</v>
      </c>
      <c r="C45" s="20">
        <f>DATE(Annee,1,2)</f>
        <v>44563</v>
      </c>
      <c r="D45" s="20">
        <f>DATE((Annee+1),1,2)</f>
        <v>44928</v>
      </c>
      <c r="E45" t="s">
        <v>45</v>
      </c>
      <c r="F45" s="2" t="s">
        <v>134</v>
      </c>
      <c r="T45" s="18" t="s">
        <v>88</v>
      </c>
      <c r="W45" s="18" t="s">
        <v>88</v>
      </c>
      <c r="AF45" s="18" t="s">
        <v>88</v>
      </c>
      <c r="AM45" s="18" t="s">
        <v>88</v>
      </c>
    </row>
    <row r="46" spans="1:44" x14ac:dyDescent="0.2">
      <c r="A46" s="27" t="str">
        <f>IF(IF(HLOOKUP(Region,TJoursFeries[[#All],[France]:[Allemagne TH]],ROWS($C$1:C46),FALSE)&lt;&gt;0,C46,"")&lt;&gt;"",IF(C46&lt;Jour1Cal,IF(AND((FetesSecondaires="Non"),(F46="p")),"",D46),IF(AND(FetesSecondaires="Non",F46="p"),"",C46)),"")</f>
        <v/>
      </c>
      <c r="B46" t="s">
        <v>115</v>
      </c>
      <c r="C46" s="20">
        <f>DATE(Annee,3,1)</f>
        <v>44621</v>
      </c>
      <c r="D46" s="20">
        <f>DATE((Annee+1),3,1)</f>
        <v>44986</v>
      </c>
      <c r="E46" t="s">
        <v>45</v>
      </c>
      <c r="F46" s="2" t="s">
        <v>134</v>
      </c>
      <c r="AF46" s="18" t="s">
        <v>88</v>
      </c>
    </row>
    <row r="47" spans="1:44" x14ac:dyDescent="0.2">
      <c r="A47" s="27" t="str">
        <f>IF(IF(HLOOKUP(Region,TJoursFeries[[#All],[France]:[Allemagne TH]],ROWS($C$1:C47),FALSE)&lt;&gt;0,C47,"")&lt;&gt;"",IF(C47&lt;Jour1Cal,IF(AND((FetesSecondaires="Non"),(F47="p")),"",D47),IF(AND(FetesSecondaires="Non",F47="p"),"",C47)),"")</f>
        <v/>
      </c>
      <c r="B47" t="s">
        <v>116</v>
      </c>
      <c r="C47" s="20">
        <f>DATE(Annee,3,19)</f>
        <v>44639</v>
      </c>
      <c r="D47" s="20">
        <f>DATE((Annee+1),3,19)</f>
        <v>45004</v>
      </c>
      <c r="E47" t="s">
        <v>45</v>
      </c>
      <c r="F47" s="2" t="s">
        <v>134</v>
      </c>
      <c r="AI47" s="18" t="s">
        <v>88</v>
      </c>
      <c r="AQ47" s="18" t="s">
        <v>88</v>
      </c>
    </row>
    <row r="48" spans="1:44" x14ac:dyDescent="0.2">
      <c r="A48" s="27" t="str">
        <f>IF(IF(HLOOKUP(Region,TJoursFeries[[#All],[France]:[Allemagne TH]],ROWS($C$1:C48),FALSE)&lt;&gt;0,C48,"")&lt;&gt;"",IF(C48&lt;Jour1Cal,IF(AND((FetesSecondaires="Non"),(F48="p")),"",D48),IF(AND(FetesSecondaires="Non",F48="p"),"",C48)),"")</f>
        <v/>
      </c>
      <c r="B48" t="s">
        <v>117</v>
      </c>
      <c r="C48" s="20">
        <f>DATE(Annee,4,8)-WEEKDAY(DATE(Annee,4,3))</f>
        <v>44658</v>
      </c>
      <c r="D48" s="20">
        <f>DATE((Annee+1),4,8)-WEEKDAY(DATE((Annee+1),4,3))</f>
        <v>45022</v>
      </c>
      <c r="E48" t="s">
        <v>45</v>
      </c>
      <c r="F48" s="2" t="s">
        <v>134</v>
      </c>
      <c r="AB48" s="18" t="s">
        <v>88</v>
      </c>
    </row>
    <row r="49" spans="1:61" x14ac:dyDescent="0.2">
      <c r="A49" s="27" t="str">
        <f>IF(IF(HLOOKUP(Region,TJoursFeries[[#All],[France]:[Allemagne TH]],ROWS($C$1:C49),FALSE)&lt;&gt;0,C49,"")&lt;&gt;"",IF(C49&lt;Jour1Cal,IF(AND((FetesSecondaires="Non"),(F49="p")),"",D49),IF(AND(FetesSecondaires="Non",F49="p"),"",C49)),"")</f>
        <v/>
      </c>
      <c r="B49" t="s">
        <v>93</v>
      </c>
      <c r="C49" s="20">
        <f>DATE(Annee,8,1)</f>
        <v>44774</v>
      </c>
      <c r="D49" s="20">
        <f>DATE((Annee+1),8,1)</f>
        <v>45139</v>
      </c>
      <c r="E49" t="s">
        <v>45</v>
      </c>
      <c r="F49" s="2" t="s">
        <v>134</v>
      </c>
      <c r="T49" s="18" t="s">
        <v>88</v>
      </c>
      <c r="U49" s="18" t="s">
        <v>88</v>
      </c>
      <c r="V49" s="18" t="s">
        <v>88</v>
      </c>
      <c r="W49" s="18" t="s">
        <v>88</v>
      </c>
      <c r="X49" s="18" t="s">
        <v>88</v>
      </c>
      <c r="Y49" s="18" t="s">
        <v>88</v>
      </c>
      <c r="Z49" s="18" t="s">
        <v>88</v>
      </c>
      <c r="AA49" s="18" t="s">
        <v>88</v>
      </c>
      <c r="AB49" s="18" t="s">
        <v>88</v>
      </c>
      <c r="AC49" s="18" t="s">
        <v>88</v>
      </c>
      <c r="AD49" s="18" t="s">
        <v>88</v>
      </c>
      <c r="AE49" s="18" t="s">
        <v>88</v>
      </c>
      <c r="AF49" s="18" t="s">
        <v>88</v>
      </c>
      <c r="AG49" s="18" t="s">
        <v>88</v>
      </c>
      <c r="AH49" s="18" t="s">
        <v>88</v>
      </c>
      <c r="AI49" s="18" t="s">
        <v>88</v>
      </c>
      <c r="AJ49" s="18" t="s">
        <v>88</v>
      </c>
      <c r="AK49" s="18" t="s">
        <v>88</v>
      </c>
      <c r="AL49" s="18" t="s">
        <v>88</v>
      </c>
      <c r="AM49" s="18" t="s">
        <v>88</v>
      </c>
      <c r="AN49" s="18" t="s">
        <v>88</v>
      </c>
      <c r="AO49" s="18" t="s">
        <v>88</v>
      </c>
      <c r="AP49" s="18" t="s">
        <v>88</v>
      </c>
      <c r="AQ49" s="18" t="s">
        <v>88</v>
      </c>
      <c r="AR49" s="18" t="s">
        <v>88</v>
      </c>
      <c r="AS49" s="18" t="s">
        <v>88</v>
      </c>
    </row>
    <row r="50" spans="1:61" x14ac:dyDescent="0.2">
      <c r="A50" s="27" t="str">
        <f>IF(IF(HLOOKUP(Region,TJoursFeries[[#All],[France]:[Allemagne TH]],ROWS($C$1:C50),FALSE)&lt;&gt;0,C50,"")&lt;&gt;"",IF(C50&lt;Jour1Cal,IF(AND((FetesSecondaires="Non"),(F50="p")),"",D50),IF(AND(FetesSecondaires="Non",F50="p"),"",C50)),"")</f>
        <v/>
      </c>
      <c r="B50" t="s">
        <v>32</v>
      </c>
      <c r="C50" s="20">
        <f>DATE(Annee,9,22)-WEEKDAY(DATE(Annee,9,7))</f>
        <v>44822</v>
      </c>
      <c r="D50" s="20">
        <f>DATE((Annee+1),9,22)-WEEKDAY(DATE((Annee+1),9,7))</f>
        <v>45186</v>
      </c>
      <c r="E50" t="s">
        <v>45</v>
      </c>
      <c r="F50" s="2" t="s">
        <v>134</v>
      </c>
      <c r="T50" s="18" t="s">
        <v>88</v>
      </c>
      <c r="U50" s="18" t="s">
        <v>88</v>
      </c>
      <c r="V50" s="18" t="s">
        <v>88</v>
      </c>
      <c r="W50" s="18" t="s">
        <v>88</v>
      </c>
      <c r="X50" s="18" t="s">
        <v>88</v>
      </c>
      <c r="Y50" s="18" t="s">
        <v>88</v>
      </c>
      <c r="Z50" s="18" t="s">
        <v>88</v>
      </c>
      <c r="AB50" s="18" t="s">
        <v>88</v>
      </c>
      <c r="AC50" s="18" t="s">
        <v>88</v>
      </c>
      <c r="AD50" s="18" t="s">
        <v>88</v>
      </c>
      <c r="AE50" s="18" t="s">
        <v>88</v>
      </c>
      <c r="AF50" s="18" t="s">
        <v>88</v>
      </c>
      <c r="AG50" s="18" t="s">
        <v>88</v>
      </c>
      <c r="AH50" s="18" t="s">
        <v>88</v>
      </c>
      <c r="AI50" s="18" t="s">
        <v>88</v>
      </c>
      <c r="AJ50" s="18" t="s">
        <v>88</v>
      </c>
      <c r="AK50" s="18" t="s">
        <v>88</v>
      </c>
      <c r="AL50" s="18" t="s">
        <v>88</v>
      </c>
      <c r="AM50" s="18" t="s">
        <v>88</v>
      </c>
      <c r="AN50" s="18" t="s">
        <v>88</v>
      </c>
      <c r="AO50" s="18" t="s">
        <v>88</v>
      </c>
      <c r="AP50" s="18" t="s">
        <v>88</v>
      </c>
      <c r="AQ50" s="18" t="s">
        <v>88</v>
      </c>
      <c r="AR50" s="18" t="s">
        <v>88</v>
      </c>
      <c r="AS50" s="18" t="s">
        <v>88</v>
      </c>
    </row>
    <row r="51" spans="1:61" x14ac:dyDescent="0.2">
      <c r="A51" s="27" t="str">
        <f>IF(IF(HLOOKUP(Region,TJoursFeries[[#All],[France]:[Allemagne TH]],ROWS($C$1:C51),FALSE)&lt;&gt;0,C51,"")&lt;&gt;"",IF(C51&lt;Jour1Cal,IF(AND((FetesSecondaires="Non"),(F51="p")),"",D51),IF(AND(FetesSecondaires="Non",F51="p"),"",C51)),"")</f>
        <v/>
      </c>
      <c r="B51" t="s">
        <v>31</v>
      </c>
      <c r="C51" s="20">
        <f>DATE(Annee,9,1)+MOD((1-WEEKDAY(DATE(Annee,9,1))),7)+4</f>
        <v>44812</v>
      </c>
      <c r="D51" s="20">
        <f>DATE((Annee+1),9,1)+MOD((1-WEEKDAY(DATE((Annee+1),9,1))),7)+4</f>
        <v>45176</v>
      </c>
      <c r="E51" t="s">
        <v>45</v>
      </c>
      <c r="F51" s="2" t="s">
        <v>134</v>
      </c>
      <c r="AA51" s="18" t="s">
        <v>88</v>
      </c>
    </row>
    <row r="52" spans="1:61" x14ac:dyDescent="0.2">
      <c r="A52" s="27" t="str">
        <f>IF(IF(HLOOKUP(Region,TJoursFeries[[#All],[France]:[Allemagne TH]],ROWS($C$1:C52),FALSE)&lt;&gt;0,C52,"")&lt;&gt;"",IF(C52&lt;Jour1Cal,IF(AND((FetesSecondaires="Non"),(F52="p")),"",D52),IF(AND(FetesSecondaires="Non",F52="p"),"",C52)),"")</f>
        <v/>
      </c>
      <c r="B52" t="s">
        <v>118</v>
      </c>
      <c r="C52" s="20">
        <f>DATE(Annee,9,1)+MOD((1-WEEKDAY(DATE(Annee,9,1))),7)+15</f>
        <v>44823</v>
      </c>
      <c r="D52" s="20">
        <f>DATE((Annee+1),9,1)+MOD((1-WEEKDAY(DATE((Annee+1),9,1))),7)+15</f>
        <v>45187</v>
      </c>
      <c r="E52" t="s">
        <v>118</v>
      </c>
      <c r="F52" s="2" t="s">
        <v>134</v>
      </c>
      <c r="AP52" s="18" t="s">
        <v>88</v>
      </c>
    </row>
    <row r="53" spans="1:61" x14ac:dyDescent="0.2">
      <c r="A53" s="27" t="str">
        <f>IF(IF(HLOOKUP(Region,TJoursFeries[[#All],[France]:[Allemagne TH]],ROWS($C$1:C53),FALSE)&lt;&gt;0,C53,"")&lt;&gt;"",IF(C53&lt;Jour1Cal,IF(AND((FetesSecondaires="Non"),(F53="p")),"",D53),IF(AND(FetesSecondaires="Non",F53="p"),"",C53)),"")</f>
        <v/>
      </c>
      <c r="B53" t="s">
        <v>119</v>
      </c>
      <c r="C53" s="20">
        <f>DATE(Annee,9,25)</f>
        <v>44829</v>
      </c>
      <c r="D53" s="20">
        <f>DATE((Annee+1),9,25)</f>
        <v>45194</v>
      </c>
      <c r="E53" t="s">
        <v>45</v>
      </c>
      <c r="F53" s="2" t="s">
        <v>134</v>
      </c>
      <c r="AH53" s="18" t="s">
        <v>88</v>
      </c>
    </row>
    <row r="54" spans="1:61" x14ac:dyDescent="0.2">
      <c r="A54" s="27" t="str">
        <f>IF(IF(HLOOKUP(Region,TJoursFeries[[#All],[France]:[Allemagne TH]],ROWS($C$1:C54),FALSE)&lt;&gt;0,C54,"")&lt;&gt;"",IF(C54&lt;Jour1Cal,IF(AND((FetesSecondaires="Non"),(F54="p")),"",D54),IF(AND(FetesSecondaires="Non",F54="p"),"",C54)),"")</f>
        <v/>
      </c>
      <c r="B54" t="s">
        <v>120</v>
      </c>
      <c r="C54" s="20">
        <f>DATE(Annee,12,31)</f>
        <v>44926</v>
      </c>
      <c r="D54" s="20">
        <f>DATE((Annee+1),12,31)</f>
        <v>45291</v>
      </c>
      <c r="E54" t="s">
        <v>45</v>
      </c>
      <c r="F54" s="2" t="s">
        <v>134</v>
      </c>
      <c r="AA54" s="18" t="s">
        <v>88</v>
      </c>
    </row>
    <row r="55" spans="1:61" x14ac:dyDescent="0.2">
      <c r="A55" s="27" t="str">
        <f>IF(IF(HLOOKUP(Region,TJoursFeries[[#All],[France]:[Allemagne TH]],ROWS($C$1:C55),FALSE)&lt;&gt;0,C55,"")&lt;&gt;"",IF(C55&lt;Jour1Cal,IF(AND((FetesSecondaires="Non"),(F55="p")),"",D55),IF(AND(FetesSecondaires="Non",F55="p"),"",C55)),"")</f>
        <v/>
      </c>
      <c r="B55" t="s">
        <v>121</v>
      </c>
      <c r="C55" s="20">
        <f>DATE(Annee,3,5)</f>
        <v>44625</v>
      </c>
      <c r="D55" s="20">
        <f>DATE((Annee+1),3,5)</f>
        <v>44990</v>
      </c>
      <c r="E55" t="s">
        <v>122</v>
      </c>
      <c r="F55" s="2" t="s">
        <v>134</v>
      </c>
      <c r="M55" s="18" t="s">
        <v>88</v>
      </c>
    </row>
    <row r="56" spans="1:61" x14ac:dyDescent="0.2">
      <c r="A56" s="27" t="str">
        <f>IF(IF(HLOOKUP(Region,TJoursFeries[[#All],[France]:[Allemagne TH]],ROWS($C$1:C56),FALSE)&lt;&gt;0,C56,"")&lt;&gt;"",IF(C56&lt;Jour1Cal,IF(AND((FetesSecondaires="Non"),(F56="p")),"",D56),IF(AND(FetesSecondaires="Non",F56="p"),"",C56)),"")</f>
        <v/>
      </c>
      <c r="B56" t="s">
        <v>123</v>
      </c>
      <c r="C56" s="20">
        <f>DATE(Annee,6,29)</f>
        <v>44741</v>
      </c>
      <c r="D56" s="20">
        <f>DATE((Annee+1),6,29)</f>
        <v>45106</v>
      </c>
      <c r="E56" t="s">
        <v>122</v>
      </c>
      <c r="F56" s="2" t="s">
        <v>134</v>
      </c>
      <c r="M56" s="18" t="s">
        <v>88</v>
      </c>
    </row>
    <row r="57" spans="1:61" x14ac:dyDescent="0.2">
      <c r="A57" s="27" t="str">
        <f>IF(IF(HLOOKUP(Region,TJoursFeries[[#All],[France]:[Allemagne TH]],ROWS($C$1:C57),FALSE)&lt;&gt;0,C57,"")&lt;&gt;"",IF(C57&lt;Jour1Cal,IF(AND((FetesSecondaires="Non"),(F57="p")),"",D57),IF(AND(FetesSecondaires="Non",F57="p"),"",C57)),"")</f>
        <v/>
      </c>
      <c r="B57" t="s">
        <v>124</v>
      </c>
      <c r="C57" s="20">
        <f>DATE(Annee,9,24)</f>
        <v>44828</v>
      </c>
      <c r="D57" s="20">
        <f>DATE((Annee+1),9,24)</f>
        <v>45193</v>
      </c>
      <c r="E57" t="s">
        <v>40</v>
      </c>
      <c r="F57" s="2" t="s">
        <v>134</v>
      </c>
      <c r="N57" s="18" t="s">
        <v>88</v>
      </c>
    </row>
    <row r="58" spans="1:61" x14ac:dyDescent="0.2">
      <c r="A58" s="27" t="str">
        <f>IF(IF(HLOOKUP(Region,TJoursFeries[[#All],[France]:[Allemagne TH]],ROWS($C$1:C58),FALSE)&lt;&gt;0,C58,"")&lt;&gt;"",IF(C58&lt;Jour1Cal,IF(AND((FetesSecondaires="Non"),(F58="p")),"",D58),IF(AND(FetesSecondaires="Non",F58="p"),"",C58)),"")</f>
        <v/>
      </c>
      <c r="B58" t="s">
        <v>97</v>
      </c>
      <c r="C58" s="20">
        <f>DATE(Annee,4,27)</f>
        <v>44678</v>
      </c>
      <c r="D58" s="20">
        <f>DATE((Annee+1),4,27)</f>
        <v>45043</v>
      </c>
      <c r="E58" t="s">
        <v>41</v>
      </c>
      <c r="F58" s="2" t="s">
        <v>134</v>
      </c>
      <c r="O58" s="18" t="s">
        <v>88</v>
      </c>
    </row>
    <row r="59" spans="1:61" x14ac:dyDescent="0.2">
      <c r="A59" s="27" t="str">
        <f>IF(IF(HLOOKUP(Region,TJoursFeries[[#All],[France]:[Allemagne TH]],ROWS($C$1:C59),FALSE)&lt;&gt;0,C59,"")&lt;&gt;"",IF(C59&lt;Jour1Cal,IF(AND((FetesSecondaires="Non"),(F59="p")),"",D59),IF(AND(FetesSecondaires="Non",F59="p"),"",C59)),"")</f>
        <v/>
      </c>
      <c r="B59" t="s">
        <v>125</v>
      </c>
      <c r="C59" s="20">
        <f>DATE(Annee,12,24)</f>
        <v>44919</v>
      </c>
      <c r="D59" s="20">
        <f>DATE((Annee+1),12,24)</f>
        <v>45284</v>
      </c>
      <c r="E59" t="s">
        <v>42</v>
      </c>
      <c r="F59" s="2" t="s">
        <v>134</v>
      </c>
      <c r="P59" s="18" t="s">
        <v>88</v>
      </c>
    </row>
    <row r="60" spans="1:61" x14ac:dyDescent="0.2">
      <c r="A60" s="27" t="str">
        <f>IF(IF(HLOOKUP(Region,TJoursFeries[[#All],[France]:[Allemagne TH]],ROWS($C$1:C60),FALSE)&lt;&gt;0,C60,"")&lt;&gt;"",IF(C60&lt;Jour1Cal,IF(AND((FetesSecondaires="Non"),(F60="p")),"",D60),IF(AND(FetesSecondaires="Non",F60="p"),"",C60)),"")</f>
        <v/>
      </c>
      <c r="B60" t="s">
        <v>126</v>
      </c>
      <c r="C60" s="20">
        <f>DATE(Annee,10,3)</f>
        <v>44837</v>
      </c>
      <c r="D60" s="20">
        <f>DATE((Annee+1),10,3)</f>
        <v>45202</v>
      </c>
      <c r="E60" t="s">
        <v>127</v>
      </c>
      <c r="F60" s="2" t="s">
        <v>134</v>
      </c>
      <c r="AT60" s="18" t="s">
        <v>88</v>
      </c>
      <c r="AU60" s="18" t="s">
        <v>88</v>
      </c>
      <c r="AV60" s="18" t="s">
        <v>88</v>
      </c>
      <c r="AW60" s="18" t="s">
        <v>88</v>
      </c>
      <c r="AX60" s="18" t="s">
        <v>88</v>
      </c>
      <c r="AY60" s="18" t="s">
        <v>88</v>
      </c>
      <c r="AZ60" s="18" t="s">
        <v>88</v>
      </c>
      <c r="BA60" s="18" t="s">
        <v>88</v>
      </c>
      <c r="BB60" s="18" t="s">
        <v>88</v>
      </c>
      <c r="BC60" s="18" t="s">
        <v>88</v>
      </c>
      <c r="BD60" s="18" t="s">
        <v>88</v>
      </c>
      <c r="BE60" s="18" t="s">
        <v>88</v>
      </c>
      <c r="BF60" s="18" t="s">
        <v>88</v>
      </c>
      <c r="BG60" s="18" t="s">
        <v>88</v>
      </c>
      <c r="BH60" s="18" t="s">
        <v>88</v>
      </c>
      <c r="BI60" s="18" t="s">
        <v>88</v>
      </c>
    </row>
    <row r="61" spans="1:61" x14ac:dyDescent="0.2">
      <c r="A61" s="27" t="str">
        <f>IF(IF(HLOOKUP(Region,TJoursFeries[[#All],[France]:[Allemagne TH]],ROWS($C$1:C61),FALSE)&lt;&gt;0,C61,"")&lt;&gt;"",IF(C61&lt;Jour1Cal,IF(AND((FetesSecondaires="Non"),(F61="p")),"",D61),IF(AND(FetesSecondaires="Non",F61="p"),"",C61)),"")</f>
        <v/>
      </c>
      <c r="B61" t="s">
        <v>128</v>
      </c>
      <c r="C61" s="20">
        <f>DATE(Annee,10,31)</f>
        <v>44865</v>
      </c>
      <c r="D61" s="20">
        <f>DATE((Annee+1),10,31)</f>
        <v>45230</v>
      </c>
      <c r="E61" t="s">
        <v>127</v>
      </c>
      <c r="F61" s="2" t="s">
        <v>134</v>
      </c>
      <c r="AW61" s="18" t="s">
        <v>88</v>
      </c>
      <c r="BA61" s="18" t="s">
        <v>88</v>
      </c>
      <c r="BF61" s="18" t="s">
        <v>88</v>
      </c>
      <c r="BG61" s="18" t="s">
        <v>88</v>
      </c>
      <c r="BI61" s="18" t="s">
        <v>88</v>
      </c>
    </row>
    <row r="62" spans="1:61" x14ac:dyDescent="0.2">
      <c r="A62" s="27" t="str">
        <f>IF(IF(HLOOKUP(Region,TJoursFeries[[#All],[France]:[Allemagne TH]],ROWS($C$1:C62),FALSE)&lt;&gt;0,C62,"")&lt;&gt;"",IF(C62&lt;Jour1Cal,IF(AND((FetesSecondaires="Non"),(F62="p")),"",D62),IF(AND(FetesSecondaires="Non",F62="p"),"",C62)),"")</f>
        <v/>
      </c>
      <c r="B62" t="s">
        <v>129</v>
      </c>
      <c r="C62" s="20">
        <f>DATE(Annee,11,16)+MOD(2-WEEKDAY(DATE(Annee,11,16),3),7)</f>
        <v>44881</v>
      </c>
      <c r="D62" s="20">
        <f>DATE(Annee+1,11,16)+MOD(2-WEEKDAY(DATE(Annee+1,11,16),3),7)</f>
        <v>45252</v>
      </c>
      <c r="E62" t="s">
        <v>127</v>
      </c>
      <c r="F62" s="2" t="s">
        <v>134</v>
      </c>
      <c r="BF62" s="18" t="s">
        <v>88</v>
      </c>
    </row>
    <row r="63" spans="1:61" x14ac:dyDescent="0.2">
      <c r="A63" s="27" t="str">
        <f>IF(IF(HLOOKUP(Region,TJoursFeries[[#All],[France]:[Allemagne TH]],ROWS($C$1:C63),FALSE)&lt;&gt;0,C63,"")&lt;&gt;"",IF(C63&lt;Jour1Cal,IF(AND((FetesSecondaires="Non"),(F63="p")),"",D63),IF(AND(FetesSecondaires="Non",F63="p"),"",C63)),"")</f>
        <v/>
      </c>
      <c r="B63" t="s">
        <v>130</v>
      </c>
      <c r="C63" s="20">
        <f>DATE(Annee,10,8)-WEEKDAY(DATE(Annee,10,7))</f>
        <v>44836</v>
      </c>
      <c r="D63" s="20">
        <f>DATE((Annee+1),10,8)-WEEKDAY(DATE((Annee+1),10,7))</f>
        <v>45200</v>
      </c>
      <c r="E63"/>
      <c r="F63" s="2" t="s">
        <v>134</v>
      </c>
    </row>
    <row r="64" spans="1:61" x14ac:dyDescent="0.2">
      <c r="A64" s="27"/>
      <c r="E64" s="20"/>
      <c r="F64" s="20"/>
    </row>
    <row r="65" spans="1:6" x14ac:dyDescent="0.2">
      <c r="E65" s="20"/>
      <c r="F65" s="20"/>
    </row>
    <row r="67" spans="1:6" x14ac:dyDescent="0.2">
      <c r="A67" s="25" t="s">
        <v>145</v>
      </c>
      <c r="B67" s="28"/>
      <c r="C67" s="8"/>
    </row>
  </sheetData>
  <phoneticPr fontId="3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1B99-4387-4F46-B585-C308B11E283A}">
  <sheetPr codeName="Feuil4"/>
  <dimension ref="A1:D82"/>
  <sheetViews>
    <sheetView workbookViewId="0"/>
  </sheetViews>
  <sheetFormatPr baseColWidth="10" defaultRowHeight="14.25" x14ac:dyDescent="0.2"/>
  <sheetData>
    <row r="1" spans="1:4" x14ac:dyDescent="0.2">
      <c r="A1" s="2" t="s">
        <v>5</v>
      </c>
      <c r="C1" s="2" t="s">
        <v>136</v>
      </c>
      <c r="D1" s="2" t="s">
        <v>137</v>
      </c>
    </row>
    <row r="2" spans="1:4" x14ac:dyDescent="0.2">
      <c r="A2" s="2">
        <v>2020</v>
      </c>
      <c r="C2" s="2" t="s">
        <v>6</v>
      </c>
      <c r="D2" s="2">
        <v>1</v>
      </c>
    </row>
    <row r="3" spans="1:4" x14ac:dyDescent="0.2">
      <c r="A3" s="2">
        <v>2021</v>
      </c>
      <c r="C3" s="2" t="s">
        <v>7</v>
      </c>
      <c r="D3" s="2">
        <v>2</v>
      </c>
    </row>
    <row r="4" spans="1:4" x14ac:dyDescent="0.2">
      <c r="A4" s="2">
        <v>2022</v>
      </c>
      <c r="C4" s="2" t="s">
        <v>8</v>
      </c>
      <c r="D4" s="2">
        <v>3</v>
      </c>
    </row>
    <row r="5" spans="1:4" x14ac:dyDescent="0.2">
      <c r="A5" s="2">
        <v>2023</v>
      </c>
      <c r="C5" s="2" t="s">
        <v>9</v>
      </c>
      <c r="D5" s="2">
        <v>4</v>
      </c>
    </row>
    <row r="6" spans="1:4" x14ac:dyDescent="0.2">
      <c r="A6" s="2">
        <v>2024</v>
      </c>
      <c r="C6" s="2" t="s">
        <v>10</v>
      </c>
      <c r="D6" s="2">
        <v>5</v>
      </c>
    </row>
    <row r="7" spans="1:4" x14ac:dyDescent="0.2">
      <c r="A7" s="2">
        <v>2025</v>
      </c>
      <c r="C7" s="2" t="s">
        <v>11</v>
      </c>
      <c r="D7" s="2">
        <v>6</v>
      </c>
    </row>
    <row r="8" spans="1:4" x14ac:dyDescent="0.2">
      <c r="A8" s="2">
        <v>2026</v>
      </c>
      <c r="C8" s="2" t="s">
        <v>12</v>
      </c>
      <c r="D8" s="2">
        <v>7</v>
      </c>
    </row>
    <row r="9" spans="1:4" x14ac:dyDescent="0.2">
      <c r="A9" s="2">
        <v>2027</v>
      </c>
      <c r="C9" s="2" t="s">
        <v>13</v>
      </c>
      <c r="D9" s="2">
        <v>8</v>
      </c>
    </row>
    <row r="10" spans="1:4" x14ac:dyDescent="0.2">
      <c r="A10" s="2">
        <v>2028</v>
      </c>
      <c r="C10" s="2" t="s">
        <v>14</v>
      </c>
      <c r="D10" s="2">
        <v>9</v>
      </c>
    </row>
    <row r="11" spans="1:4" x14ac:dyDescent="0.2">
      <c r="A11" s="2">
        <v>2029</v>
      </c>
      <c r="C11" s="2" t="s">
        <v>15</v>
      </c>
      <c r="D11" s="2">
        <v>10</v>
      </c>
    </row>
    <row r="12" spans="1:4" x14ac:dyDescent="0.2">
      <c r="A12" s="2">
        <v>2030</v>
      </c>
      <c r="C12" s="2" t="s">
        <v>16</v>
      </c>
      <c r="D12" s="2">
        <v>11</v>
      </c>
    </row>
    <row r="13" spans="1:4" x14ac:dyDescent="0.2">
      <c r="A13" s="2">
        <v>2031</v>
      </c>
      <c r="C13" s="2" t="s">
        <v>17</v>
      </c>
      <c r="D13" s="2">
        <v>12</v>
      </c>
    </row>
    <row r="14" spans="1:4" x14ac:dyDescent="0.2">
      <c r="A14" s="2">
        <v>2032</v>
      </c>
    </row>
    <row r="15" spans="1:4" x14ac:dyDescent="0.2">
      <c r="A15" s="2">
        <v>2033</v>
      </c>
    </row>
    <row r="16" spans="1:4" x14ac:dyDescent="0.2">
      <c r="A16" s="2">
        <v>2034</v>
      </c>
    </row>
    <row r="17" spans="1:1" x14ac:dyDescent="0.2">
      <c r="A17" s="2">
        <v>2035</v>
      </c>
    </row>
    <row r="18" spans="1:1" x14ac:dyDescent="0.2">
      <c r="A18" s="2">
        <v>2036</v>
      </c>
    </row>
    <row r="19" spans="1:1" x14ac:dyDescent="0.2">
      <c r="A19" s="2">
        <v>2037</v>
      </c>
    </row>
    <row r="20" spans="1:1" x14ac:dyDescent="0.2">
      <c r="A20" s="2">
        <v>2038</v>
      </c>
    </row>
    <row r="21" spans="1:1" x14ac:dyDescent="0.2">
      <c r="A21" s="2">
        <v>2039</v>
      </c>
    </row>
    <row r="22" spans="1:1" x14ac:dyDescent="0.2">
      <c r="A22" s="2">
        <v>2040</v>
      </c>
    </row>
    <row r="23" spans="1:1" x14ac:dyDescent="0.2">
      <c r="A23" s="2">
        <v>2041</v>
      </c>
    </row>
    <row r="24" spans="1:1" x14ac:dyDescent="0.2">
      <c r="A24" s="2">
        <v>2042</v>
      </c>
    </row>
    <row r="25" spans="1:1" x14ac:dyDescent="0.2">
      <c r="A25" s="2">
        <v>2043</v>
      </c>
    </row>
    <row r="26" spans="1:1" x14ac:dyDescent="0.2">
      <c r="A26" s="2">
        <v>2044</v>
      </c>
    </row>
    <row r="27" spans="1:1" x14ac:dyDescent="0.2">
      <c r="A27" s="2">
        <v>2045</v>
      </c>
    </row>
    <row r="28" spans="1:1" x14ac:dyDescent="0.2">
      <c r="A28" s="2">
        <v>2046</v>
      </c>
    </row>
    <row r="29" spans="1:1" x14ac:dyDescent="0.2">
      <c r="A29" s="2">
        <v>2047</v>
      </c>
    </row>
    <row r="30" spans="1:1" x14ac:dyDescent="0.2">
      <c r="A30" s="2">
        <v>2048</v>
      </c>
    </row>
    <row r="31" spans="1:1" x14ac:dyDescent="0.2">
      <c r="A31" s="2">
        <v>2049</v>
      </c>
    </row>
    <row r="32" spans="1:1" x14ac:dyDescent="0.2">
      <c r="A32" s="2">
        <v>2050</v>
      </c>
    </row>
    <row r="33" spans="1:1" x14ac:dyDescent="0.2">
      <c r="A33" s="2">
        <v>2051</v>
      </c>
    </row>
    <row r="34" spans="1:1" x14ac:dyDescent="0.2">
      <c r="A34" s="2">
        <v>2052</v>
      </c>
    </row>
    <row r="35" spans="1:1" x14ac:dyDescent="0.2">
      <c r="A35" s="2">
        <v>2053</v>
      </c>
    </row>
    <row r="36" spans="1:1" x14ac:dyDescent="0.2">
      <c r="A36" s="2">
        <v>2054</v>
      </c>
    </row>
    <row r="37" spans="1:1" x14ac:dyDescent="0.2">
      <c r="A37" s="2">
        <v>2055</v>
      </c>
    </row>
    <row r="38" spans="1:1" x14ac:dyDescent="0.2">
      <c r="A38" s="2">
        <v>2056</v>
      </c>
    </row>
    <row r="39" spans="1:1" x14ac:dyDescent="0.2">
      <c r="A39" s="2">
        <v>2057</v>
      </c>
    </row>
    <row r="40" spans="1:1" x14ac:dyDescent="0.2">
      <c r="A40" s="2">
        <v>2058</v>
      </c>
    </row>
    <row r="41" spans="1:1" x14ac:dyDescent="0.2">
      <c r="A41" s="2">
        <v>2059</v>
      </c>
    </row>
    <row r="42" spans="1:1" x14ac:dyDescent="0.2">
      <c r="A42" s="2">
        <v>2060</v>
      </c>
    </row>
    <row r="43" spans="1:1" x14ac:dyDescent="0.2">
      <c r="A43" s="2">
        <v>2061</v>
      </c>
    </row>
    <row r="44" spans="1:1" x14ac:dyDescent="0.2">
      <c r="A44" s="2">
        <v>2062</v>
      </c>
    </row>
    <row r="45" spans="1:1" x14ac:dyDescent="0.2">
      <c r="A45" s="2">
        <v>2063</v>
      </c>
    </row>
    <row r="46" spans="1:1" x14ac:dyDescent="0.2">
      <c r="A46" s="2">
        <v>2064</v>
      </c>
    </row>
    <row r="47" spans="1:1" x14ac:dyDescent="0.2">
      <c r="A47" s="2">
        <v>2065</v>
      </c>
    </row>
    <row r="48" spans="1:1" x14ac:dyDescent="0.2">
      <c r="A48" s="2">
        <v>2066</v>
      </c>
    </row>
    <row r="49" spans="1:1" x14ac:dyDescent="0.2">
      <c r="A49" s="2">
        <v>2067</v>
      </c>
    </row>
    <row r="50" spans="1:1" x14ac:dyDescent="0.2">
      <c r="A50" s="2">
        <v>2068</v>
      </c>
    </row>
    <row r="51" spans="1:1" x14ac:dyDescent="0.2">
      <c r="A51" s="2">
        <v>2069</v>
      </c>
    </row>
    <row r="52" spans="1:1" x14ac:dyDescent="0.2">
      <c r="A52" s="2">
        <v>2070</v>
      </c>
    </row>
    <row r="53" spans="1:1" x14ac:dyDescent="0.2">
      <c r="A53" s="2">
        <v>2071</v>
      </c>
    </row>
    <row r="54" spans="1:1" x14ac:dyDescent="0.2">
      <c r="A54" s="2">
        <v>2072</v>
      </c>
    </row>
    <row r="55" spans="1:1" x14ac:dyDescent="0.2">
      <c r="A55" s="2">
        <v>2073</v>
      </c>
    </row>
    <row r="56" spans="1:1" x14ac:dyDescent="0.2">
      <c r="A56" s="2">
        <v>2074</v>
      </c>
    </row>
    <row r="57" spans="1:1" x14ac:dyDescent="0.2">
      <c r="A57" s="2">
        <v>2075</v>
      </c>
    </row>
    <row r="58" spans="1:1" x14ac:dyDescent="0.2">
      <c r="A58" s="2">
        <v>2076</v>
      </c>
    </row>
    <row r="59" spans="1:1" x14ac:dyDescent="0.2">
      <c r="A59" s="2">
        <v>2077</v>
      </c>
    </row>
    <row r="60" spans="1:1" x14ac:dyDescent="0.2">
      <c r="A60" s="2">
        <v>2078</v>
      </c>
    </row>
    <row r="61" spans="1:1" x14ac:dyDescent="0.2">
      <c r="A61" s="2">
        <v>2079</v>
      </c>
    </row>
    <row r="62" spans="1:1" x14ac:dyDescent="0.2">
      <c r="A62" s="2">
        <v>2080</v>
      </c>
    </row>
    <row r="63" spans="1:1" x14ac:dyDescent="0.2">
      <c r="A63" s="2">
        <v>2081</v>
      </c>
    </row>
    <row r="64" spans="1:1" x14ac:dyDescent="0.2">
      <c r="A64" s="2">
        <v>2082</v>
      </c>
    </row>
    <row r="65" spans="1:1" x14ac:dyDescent="0.2">
      <c r="A65" s="2">
        <v>2083</v>
      </c>
    </row>
    <row r="66" spans="1:1" x14ac:dyDescent="0.2">
      <c r="A66" s="2">
        <v>2084</v>
      </c>
    </row>
    <row r="67" spans="1:1" x14ac:dyDescent="0.2">
      <c r="A67" s="2">
        <v>2085</v>
      </c>
    </row>
    <row r="68" spans="1:1" x14ac:dyDescent="0.2">
      <c r="A68" s="2">
        <v>2086</v>
      </c>
    </row>
    <row r="69" spans="1:1" x14ac:dyDescent="0.2">
      <c r="A69" s="2">
        <v>2087</v>
      </c>
    </row>
    <row r="70" spans="1:1" x14ac:dyDescent="0.2">
      <c r="A70" s="2">
        <v>2088</v>
      </c>
    </row>
    <row r="71" spans="1:1" x14ac:dyDescent="0.2">
      <c r="A71" s="2">
        <v>2089</v>
      </c>
    </row>
    <row r="72" spans="1:1" x14ac:dyDescent="0.2">
      <c r="A72" s="2">
        <v>2090</v>
      </c>
    </row>
    <row r="73" spans="1:1" x14ac:dyDescent="0.2">
      <c r="A73" s="2">
        <v>2091</v>
      </c>
    </row>
    <row r="74" spans="1:1" x14ac:dyDescent="0.2">
      <c r="A74" s="2">
        <v>2092</v>
      </c>
    </row>
    <row r="75" spans="1:1" x14ac:dyDescent="0.2">
      <c r="A75" s="2">
        <v>2093</v>
      </c>
    </row>
    <row r="76" spans="1:1" x14ac:dyDescent="0.2">
      <c r="A76" s="2">
        <v>2094</v>
      </c>
    </row>
    <row r="77" spans="1:1" x14ac:dyDescent="0.2">
      <c r="A77" s="2">
        <v>2095</v>
      </c>
    </row>
    <row r="78" spans="1:1" x14ac:dyDescent="0.2">
      <c r="A78" s="2">
        <v>2096</v>
      </c>
    </row>
    <row r="79" spans="1:1" x14ac:dyDescent="0.2">
      <c r="A79" s="2">
        <v>2097</v>
      </c>
    </row>
    <row r="80" spans="1:1" x14ac:dyDescent="0.2">
      <c r="A80" s="2">
        <v>2098</v>
      </c>
    </row>
    <row r="81" spans="1:1" x14ac:dyDescent="0.2">
      <c r="A81" s="2">
        <v>2099</v>
      </c>
    </row>
    <row r="82" spans="1:1" x14ac:dyDescent="0.2">
      <c r="A82" s="2">
        <v>2100</v>
      </c>
    </row>
  </sheetData>
  <phoneticPr fontId="3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13</vt:i4>
      </vt:variant>
    </vt:vector>
  </HeadingPairs>
  <TitlesOfParts>
    <vt:vector size="16" baseType="lpstr">
      <vt:lpstr>Calendrier</vt:lpstr>
      <vt:lpstr>Jours fériés globaux</vt:lpstr>
      <vt:lpstr>RefData</vt:lpstr>
      <vt:lpstr>AfficherAujourdHui</vt:lpstr>
      <vt:lpstr>Calendrier!AfficherNoSemaine</vt:lpstr>
      <vt:lpstr>Calendrier!Annee</vt:lpstr>
      <vt:lpstr>Annee</vt:lpstr>
      <vt:lpstr>FetesSecondaires</vt:lpstr>
      <vt:lpstr>Jour1Cal</vt:lpstr>
      <vt:lpstr>Calendrier!LAnnee</vt:lpstr>
      <vt:lpstr>LAnnee</vt:lpstr>
      <vt:lpstr>Calendrier!Lieu</vt:lpstr>
      <vt:lpstr>LMois</vt:lpstr>
      <vt:lpstr>LPays</vt:lpstr>
      <vt:lpstr>Region</vt:lpstr>
      <vt:lpstr>Calendrier!Zone_d_impression</vt:lpstr>
    </vt:vector>
  </TitlesOfParts>
  <Manager/>
  <Company>EALB</Company>
  <LinksUpToDate>false</LinksUpToDate>
  <SharedDoc>false</SharedDoc>
  <HyperlinkBase>https://exceller-avec-la-bureautique.com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2021</dc:title>
  <dc:subject/>
  <dc:creator>Charles Exceller</dc:creator>
  <cp:keywords>Calendrier, Excel, 2021, 2022</cp:keywords>
  <dc:description>Calendrier Excel permanent avec les jours fériés de Belgique, Canada, France et Suisse (GE, VD)</dc:description>
  <cp:lastModifiedBy>Charles Exceller</cp:lastModifiedBy>
  <cp:revision/>
  <cp:lastPrinted>2020-06-13T06:56:23Z</cp:lastPrinted>
  <dcterms:created xsi:type="dcterms:W3CDTF">2019-12-18T19:55:25Z</dcterms:created>
  <dcterms:modified xsi:type="dcterms:W3CDTF">2021-12-12T19:55:15Z</dcterms:modified>
  <cp:category/>
  <cp:contentStatus/>
</cp:coreProperties>
</file>